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publicationtendernoticeadvertisementandtenderdocument\"/>
    </mc:Choice>
  </mc:AlternateContent>
  <bookViews>
    <workbookView xWindow="0" yWindow="0" windowWidth="24000" windowHeight="9135" tabRatio="919" firstSheet="23" activeTab="24"/>
  </bookViews>
  <sheets>
    <sheet name="Lead" sheetId="16" state="hidden" r:id="rId1"/>
    <sheet name="ANALYSIS" sheetId="15" state="hidden" r:id="rId2"/>
    <sheet name="Sheet3" sheetId="20" state="hidden" r:id="rId3"/>
    <sheet name="P.H. Analysis" sheetId="39" state="hidden" r:id="rId4"/>
    <sheet name="Irrigation" sheetId="35" state="hidden" r:id="rId5"/>
    <sheet name="Land-Civil Str (Qty)" sheetId="36" state="hidden" r:id="rId6"/>
    <sheet name="Beautification of water" sheetId="38" state="hidden" r:id="rId7"/>
    <sheet name="Boating comp (P.H.)" sheetId="40" state="hidden" r:id="rId8"/>
    <sheet name="O.A.T. (P.H.)" sheetId="41" state="hidden" r:id="rId9"/>
    <sheet name="Boating Comp (Civil)" sheetId="42" state="hidden" r:id="rId10"/>
    <sheet name="Boating complex(Qnty)" sheetId="43" state="hidden" r:id="rId11"/>
    <sheet name="ANALYSIS (2)" sheetId="71" state="hidden" r:id="rId12"/>
    <sheet name="Abst(Admin)" sheetId="52" state="hidden" r:id="rId13"/>
    <sheet name="Sheet5" sheetId="56" state="hidden" r:id="rId14"/>
    <sheet name="Abs(Hostel)" sheetId="58" state="hidden" r:id="rId15"/>
    <sheet name="Qnty(Hostel)" sheetId="57" state="hidden" r:id="rId16"/>
    <sheet name="Index" sheetId="55" state="hidden" r:id="rId17"/>
    <sheet name="INDEX.." sheetId="63" state="hidden" r:id="rId18"/>
    <sheet name="Abs P qtr" sheetId="67" state="hidden" r:id="rId19"/>
    <sheet name="p. qtr(qty)" sheetId="68" state="hidden" r:id="rId20"/>
    <sheet name="Abs(Staff Qtr)" sheetId="69" state="hidden" r:id="rId21"/>
    <sheet name="Staaf Qtr" sheetId="70" state="hidden" r:id="rId22"/>
    <sheet name="Total abstract" sheetId="64" state="hidden" r:id="rId23"/>
    <sheet name="SUMMARY" sheetId="73" r:id="rId24"/>
    <sheet name="BOQ" sheetId="72"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Print_Area" localSheetId="14">'Abs(Hostel)'!$A$1:$F$115</definedName>
    <definedName name="_xlnm.Print_Area" localSheetId="12">'Abst(Admin)'!$A$1:$F$116</definedName>
    <definedName name="_xlnm.Print_Area" localSheetId="1">ANALYSIS!$A$1:$H$1501</definedName>
    <definedName name="_xlnm.Print_Area" localSheetId="11">'ANALYSIS (2)'!$A$1:$F$1532</definedName>
    <definedName name="_xlnm.Print_Area" localSheetId="24">BOQ!$A$1:$I$589</definedName>
    <definedName name="_xlnm.Print_Area" localSheetId="16">Index!$A$1:$H$60</definedName>
    <definedName name="_xlnm.Print_Area" localSheetId="17">INDEX..!$A$1:$F$89</definedName>
    <definedName name="_xlnm.Print_Area" localSheetId="4">Irrigation!$A$1:$F$23</definedName>
    <definedName name="_xlnm.Print_Area" localSheetId="5">'Land-Civil Str (Qty)'!$A$1:$H$122</definedName>
    <definedName name="_xlnm.Print_Area" localSheetId="0">Lead!$A$1:$K$78</definedName>
    <definedName name="_xlnm.Print_Area" localSheetId="15">'Qnty(Hostel)'!$A$1:$H$1307</definedName>
    <definedName name="_xlnm.Print_Area" localSheetId="22">'Total abstract'!$A$1:$F$129</definedName>
  </definedNames>
  <calcPr calcId="152511"/>
</workbook>
</file>

<file path=xl/calcChain.xml><?xml version="1.0" encoding="utf-8"?>
<calcChain xmlns="http://schemas.openxmlformats.org/spreadsheetml/2006/main">
  <c r="A7" i="73" l="1"/>
  <c r="A8" i="73" s="1"/>
  <c r="A9" i="73" s="1"/>
  <c r="A10" i="73" s="1"/>
  <c r="A11" i="73" s="1"/>
  <c r="A12" i="73" s="1"/>
  <c r="A13" i="73" s="1"/>
  <c r="A14" i="73" s="1"/>
  <c r="A15" i="73" s="1"/>
  <c r="A16" i="73" s="1"/>
  <c r="A17" i="73" s="1"/>
  <c r="A18" i="73" s="1"/>
  <c r="A19" i="73" s="1"/>
  <c r="A20" i="73" s="1"/>
  <c r="A21" i="73" s="1"/>
  <c r="A22" i="73" s="1"/>
  <c r="A23" i="73" s="1"/>
  <c r="C27" i="52"/>
  <c r="C9" i="52"/>
  <c r="C5" i="52"/>
  <c r="C93" i="52"/>
  <c r="C29" i="52"/>
  <c r="C32" i="52"/>
  <c r="C34" i="52"/>
  <c r="C24" i="52"/>
  <c r="C38" i="52"/>
  <c r="C39" i="52"/>
  <c r="C3" i="52"/>
  <c r="C7" i="52"/>
  <c r="F5" i="16"/>
  <c r="J5" i="16" s="1"/>
  <c r="M6" i="16"/>
  <c r="F8" i="16"/>
  <c r="J8" i="16" s="1"/>
  <c r="F11" i="16"/>
  <c r="J11" i="16" s="1"/>
  <c r="F14" i="16"/>
  <c r="H14" i="16"/>
  <c r="J14" i="16"/>
  <c r="F17" i="16"/>
  <c r="J17" i="16"/>
  <c r="H17" i="16" s="1"/>
  <c r="F20" i="16"/>
  <c r="J20" i="16" s="1"/>
  <c r="F22" i="16"/>
  <c r="J22" i="16" s="1"/>
  <c r="H22" i="16" s="1"/>
  <c r="F24" i="16"/>
  <c r="H24" i="16"/>
  <c r="J24" i="16"/>
  <c r="E165" i="15" s="1"/>
  <c r="F26" i="16"/>
  <c r="H26" i="16" s="1"/>
  <c r="J26" i="16"/>
  <c r="F29" i="16"/>
  <c r="J29" i="16" s="1"/>
  <c r="F31" i="16"/>
  <c r="J31" i="16" s="1"/>
  <c r="E581" i="15" s="1"/>
  <c r="F33" i="16"/>
  <c r="J33" i="16"/>
  <c r="H33" i="16" s="1"/>
  <c r="F35" i="16"/>
  <c r="G35" i="16"/>
  <c r="J35" i="16"/>
  <c r="H35" i="16" s="1"/>
  <c r="F37" i="16"/>
  <c r="G37" i="16"/>
  <c r="J37" i="16"/>
  <c r="H37" i="16" s="1"/>
  <c r="F39" i="16"/>
  <c r="J39" i="16"/>
  <c r="H39" i="16" s="1"/>
  <c r="E6" i="15"/>
  <c r="F6" i="15" s="1"/>
  <c r="E7" i="15"/>
  <c r="F7" i="15"/>
  <c r="E34" i="15"/>
  <c r="F34" i="15" s="1"/>
  <c r="E38" i="15"/>
  <c r="F38" i="15"/>
  <c r="E40" i="15"/>
  <c r="F40" i="15" s="1"/>
  <c r="E51" i="15"/>
  <c r="F51" i="15"/>
  <c r="E52" i="15"/>
  <c r="F52" i="15" s="1"/>
  <c r="E53" i="15"/>
  <c r="F53" i="15"/>
  <c r="E54" i="15"/>
  <c r="F54" i="15" s="1"/>
  <c r="E56" i="15"/>
  <c r="F56" i="15"/>
  <c r="E57" i="15"/>
  <c r="F57" i="15" s="1"/>
  <c r="E58" i="15"/>
  <c r="F58" i="15"/>
  <c r="E60" i="15"/>
  <c r="F60" i="15" s="1"/>
  <c r="E61" i="15"/>
  <c r="F61" i="15"/>
  <c r="C67" i="15"/>
  <c r="C68" i="15"/>
  <c r="E68" i="15"/>
  <c r="F68" i="15"/>
  <c r="E90" i="15"/>
  <c r="F90" i="15"/>
  <c r="E91" i="15"/>
  <c r="F91" i="15"/>
  <c r="E92" i="15"/>
  <c r="F92" i="15"/>
  <c r="E94" i="15"/>
  <c r="F94" i="15"/>
  <c r="E95" i="15"/>
  <c r="F95" i="15"/>
  <c r="E96" i="15"/>
  <c r="E97" i="15" s="1"/>
  <c r="F96" i="15"/>
  <c r="F97" i="15"/>
  <c r="E110" i="15"/>
  <c r="F110" i="15"/>
  <c r="E111" i="15"/>
  <c r="F111" i="15"/>
  <c r="E112" i="15"/>
  <c r="F112" i="15"/>
  <c r="E114" i="15"/>
  <c r="F114" i="15"/>
  <c r="E115" i="15"/>
  <c r="F115" i="15"/>
  <c r="E116" i="15"/>
  <c r="F116" i="15"/>
  <c r="E117" i="15"/>
  <c r="F117" i="15"/>
  <c r="E131" i="15"/>
  <c r="F131" i="15"/>
  <c r="E132" i="15"/>
  <c r="F132" i="15"/>
  <c r="E133" i="15"/>
  <c r="F133" i="15"/>
  <c r="E135" i="15"/>
  <c r="F135" i="15"/>
  <c r="E136" i="15"/>
  <c r="F136" i="15"/>
  <c r="E137" i="15"/>
  <c r="F137" i="15"/>
  <c r="E138" i="15"/>
  <c r="F138" i="15"/>
  <c r="E151" i="15"/>
  <c r="F151" i="15"/>
  <c r="E152" i="15"/>
  <c r="F152" i="15"/>
  <c r="E153" i="15"/>
  <c r="F153" i="15"/>
  <c r="E156" i="15"/>
  <c r="F156" i="15"/>
  <c r="E157" i="15"/>
  <c r="F157" i="15"/>
  <c r="E158" i="15"/>
  <c r="F158" i="15"/>
  <c r="F165" i="15"/>
  <c r="F173" i="15"/>
  <c r="F197" i="15"/>
  <c r="F198" i="15"/>
  <c r="F199" i="15"/>
  <c r="E203" i="15"/>
  <c r="F203" i="15"/>
  <c r="E204" i="15"/>
  <c r="F204" i="15"/>
  <c r="F226" i="15"/>
  <c r="F227" i="15"/>
  <c r="F228" i="15"/>
  <c r="F229" i="15"/>
  <c r="E233" i="15"/>
  <c r="F233" i="15"/>
  <c r="E234" i="15"/>
  <c r="F234" i="15"/>
  <c r="F255" i="15"/>
  <c r="F256" i="15"/>
  <c r="F258" i="15" s="1"/>
  <c r="F259" i="15" s="1"/>
  <c r="F257" i="15"/>
  <c r="E261" i="15"/>
  <c r="F261" i="15" s="1"/>
  <c r="E262" i="15"/>
  <c r="F262" i="15" s="1"/>
  <c r="F287" i="15"/>
  <c r="F288" i="15"/>
  <c r="F289" i="15"/>
  <c r="E290" i="15"/>
  <c r="F290" i="15"/>
  <c r="E294" i="15"/>
  <c r="F294" i="15"/>
  <c r="E295" i="15"/>
  <c r="F295" i="15"/>
  <c r="F319" i="15"/>
  <c r="E320" i="15"/>
  <c r="F320" i="15" s="1"/>
  <c r="F323" i="15" s="1"/>
  <c r="F321" i="15"/>
  <c r="E322" i="15"/>
  <c r="F322" i="15"/>
  <c r="F324" i="15"/>
  <c r="E326" i="15"/>
  <c r="F326" i="15"/>
  <c r="E327" i="15"/>
  <c r="F327" i="15"/>
  <c r="E347" i="15"/>
  <c r="F347" i="15"/>
  <c r="E348" i="15"/>
  <c r="F348" i="15"/>
  <c r="E349" i="15"/>
  <c r="F349" i="15"/>
  <c r="E351" i="15"/>
  <c r="F351" i="15"/>
  <c r="E352" i="15"/>
  <c r="F352" i="15"/>
  <c r="E353" i="15"/>
  <c r="F353" i="15"/>
  <c r="E354" i="15"/>
  <c r="F354" i="15"/>
  <c r="E411" i="15"/>
  <c r="F411" i="15"/>
  <c r="E426" i="15"/>
  <c r="F426" i="15"/>
  <c r="E427" i="15"/>
  <c r="F427" i="15"/>
  <c r="E483" i="15"/>
  <c r="F483" i="15"/>
  <c r="F541" i="15"/>
  <c r="E542" i="15"/>
  <c r="F542" i="15" s="1"/>
  <c r="F543" i="15"/>
  <c r="F548" i="15"/>
  <c r="F549" i="15"/>
  <c r="E570" i="15"/>
  <c r="F570" i="15" s="1"/>
  <c r="F571" i="15"/>
  <c r="E573" i="15"/>
  <c r="F573" i="15"/>
  <c r="E574" i="15"/>
  <c r="F574" i="15"/>
  <c r="E575" i="15"/>
  <c r="F575" i="15"/>
  <c r="F581" i="15"/>
  <c r="E602" i="15"/>
  <c r="F602" i="15"/>
  <c r="E603" i="15"/>
  <c r="F603" i="15"/>
  <c r="E605" i="15"/>
  <c r="F605" i="15"/>
  <c r="E606" i="15"/>
  <c r="F606" i="15"/>
  <c r="E607" i="15"/>
  <c r="F607" i="15"/>
  <c r="E608" i="15"/>
  <c r="F608" i="15"/>
  <c r="E609" i="15"/>
  <c r="F609" i="15"/>
  <c r="E633" i="15"/>
  <c r="F633" i="15"/>
  <c r="E634" i="15"/>
  <c r="F634" i="15"/>
  <c r="E636" i="15"/>
  <c r="F636" i="15"/>
  <c r="E637" i="15"/>
  <c r="F637" i="15"/>
  <c r="E638" i="15"/>
  <c r="F638" i="15"/>
  <c r="E639" i="15"/>
  <c r="F639" i="15"/>
  <c r="E664" i="15"/>
  <c r="F664" i="15"/>
  <c r="E665" i="15"/>
  <c r="F665" i="15"/>
  <c r="E667" i="15"/>
  <c r="F667" i="15"/>
  <c r="E668" i="15"/>
  <c r="F668" i="15"/>
  <c r="E669" i="15"/>
  <c r="F669" i="15"/>
  <c r="E670" i="15"/>
  <c r="F670" i="15"/>
  <c r="F695" i="15"/>
  <c r="E697" i="15"/>
  <c r="F697" i="15" s="1"/>
  <c r="E698" i="15"/>
  <c r="F698" i="15" s="1"/>
  <c r="E699" i="15"/>
  <c r="F699" i="15" s="1"/>
  <c r="F721" i="15"/>
  <c r="E723" i="15"/>
  <c r="F723" i="15" s="1"/>
  <c r="E724" i="15"/>
  <c r="F724" i="15" s="1"/>
  <c r="E725" i="15"/>
  <c r="F725" i="15" s="1"/>
  <c r="E731" i="15"/>
  <c r="F731" i="15" s="1"/>
  <c r="E732" i="15"/>
  <c r="F737" i="15"/>
  <c r="E742" i="15"/>
  <c r="F742" i="15" s="1"/>
  <c r="E743" i="15"/>
  <c r="F743" i="15" s="1"/>
  <c r="F747" i="15"/>
  <c r="F769" i="15"/>
  <c r="F772" i="15"/>
  <c r="G781" i="15"/>
  <c r="F783" i="15"/>
  <c r="F784" i="15"/>
  <c r="F785" i="15"/>
  <c r="F788" i="15"/>
  <c r="E791" i="15"/>
  <c r="F791" i="15" s="1"/>
  <c r="E792" i="15"/>
  <c r="F792" i="15" s="1"/>
  <c r="F797" i="15"/>
  <c r="F798" i="15"/>
  <c r="F799" i="15" s="1"/>
  <c r="F803" i="15" s="1"/>
  <c r="F800" i="15"/>
  <c r="F816" i="15"/>
  <c r="E817" i="15"/>
  <c r="F817" i="15" s="1"/>
  <c r="F818" i="15"/>
  <c r="E820" i="15"/>
  <c r="F820" i="15"/>
  <c r="E821" i="15"/>
  <c r="F821" i="15"/>
  <c r="E836" i="15"/>
  <c r="F836" i="15"/>
  <c r="E837" i="15"/>
  <c r="F837" i="15"/>
  <c r="E838" i="15"/>
  <c r="F838" i="15"/>
  <c r="E840" i="15"/>
  <c r="F840" i="15"/>
  <c r="E841" i="15"/>
  <c r="F841" i="15"/>
  <c r="E842" i="15"/>
  <c r="F842" i="15"/>
  <c r="E848" i="15"/>
  <c r="F848" i="15"/>
  <c r="E859" i="15"/>
  <c r="F859" i="15"/>
  <c r="E860" i="15"/>
  <c r="F860" i="15" s="1"/>
  <c r="E861" i="15"/>
  <c r="F861" i="15" s="1"/>
  <c r="E864" i="15"/>
  <c r="F864" i="15" s="1"/>
  <c r="E865" i="15"/>
  <c r="F865" i="15" s="1"/>
  <c r="F869" i="15"/>
  <c r="E872" i="15"/>
  <c r="F872" i="15" s="1"/>
  <c r="C873" i="15"/>
  <c r="E892" i="15"/>
  <c r="F892" i="15" s="1"/>
  <c r="E893" i="15"/>
  <c r="F893" i="15"/>
  <c r="E894" i="15"/>
  <c r="F894" i="15" s="1"/>
  <c r="E896" i="15"/>
  <c r="F896" i="15"/>
  <c r="E897" i="15"/>
  <c r="F897" i="15" s="1"/>
  <c r="F901" i="15"/>
  <c r="E903" i="15"/>
  <c r="F903" i="15" s="1"/>
  <c r="E904" i="15"/>
  <c r="F904" i="15" s="1"/>
  <c r="C905" i="15"/>
  <c r="E905" i="15"/>
  <c r="F905" i="15" s="1"/>
  <c r="F926" i="15"/>
  <c r="E927" i="15"/>
  <c r="F927" i="15" s="1"/>
  <c r="E928" i="15"/>
  <c r="F928" i="15" s="1"/>
  <c r="E929" i="15"/>
  <c r="F929" i="15" s="1"/>
  <c r="F930" i="15"/>
  <c r="E932" i="15"/>
  <c r="F932" i="15"/>
  <c r="E933" i="15"/>
  <c r="F933" i="15" s="1"/>
  <c r="E44" i="42" s="1"/>
  <c r="E938" i="15"/>
  <c r="F938" i="15"/>
  <c r="E939" i="15"/>
  <c r="F939" i="15" s="1"/>
  <c r="C940" i="15"/>
  <c r="E960" i="15"/>
  <c r="F960" i="15" s="1"/>
  <c r="E961" i="15"/>
  <c r="F961" i="15"/>
  <c r="E962" i="15"/>
  <c r="F962" i="15" s="1"/>
  <c r="E964" i="15"/>
  <c r="F964" i="15"/>
  <c r="E965" i="15"/>
  <c r="F965" i="15" s="1"/>
  <c r="E969" i="15"/>
  <c r="F969" i="15"/>
  <c r="E971" i="15"/>
  <c r="E871" i="15" s="1"/>
  <c r="F871" i="15" s="1"/>
  <c r="C973" i="15"/>
  <c r="E973" i="15"/>
  <c r="F973" i="15" s="1"/>
  <c r="E992" i="15"/>
  <c r="F992" i="15" s="1"/>
  <c r="E993" i="15"/>
  <c r="F993" i="15" s="1"/>
  <c r="E994" i="15"/>
  <c r="F994" i="15" s="1"/>
  <c r="E996" i="15"/>
  <c r="F996" i="15" s="1"/>
  <c r="E997" i="15"/>
  <c r="F997" i="15" s="1"/>
  <c r="E1001" i="15"/>
  <c r="F1001" i="15" s="1"/>
  <c r="E1004" i="15"/>
  <c r="F1004" i="15" s="1"/>
  <c r="E1005" i="15"/>
  <c r="F1005" i="15" s="1"/>
  <c r="F1027" i="15"/>
  <c r="E1028" i="15"/>
  <c r="F1028" i="15"/>
  <c r="E1029" i="15"/>
  <c r="F1029" i="15" s="1"/>
  <c r="E1033" i="15"/>
  <c r="F1033" i="15"/>
  <c r="E1034" i="15"/>
  <c r="F1034" i="15" s="1"/>
  <c r="E1035" i="15"/>
  <c r="F1035" i="15"/>
  <c r="E1041" i="15"/>
  <c r="F1041" i="15" s="1"/>
  <c r="E1043" i="15"/>
  <c r="F1084" i="15"/>
  <c r="E1085" i="15"/>
  <c r="F1085" i="15" s="1"/>
  <c r="E1086" i="15"/>
  <c r="F1086" i="15"/>
  <c r="E1087" i="15"/>
  <c r="F1087" i="15" s="1"/>
  <c r="E1090" i="15"/>
  <c r="F1090" i="15"/>
  <c r="E1091" i="15"/>
  <c r="F1091" i="15" s="1"/>
  <c r="E1092" i="15"/>
  <c r="F1092" i="15"/>
  <c r="E1099" i="15"/>
  <c r="F1099" i="15" s="1"/>
  <c r="C1100" i="15"/>
  <c r="E1100" i="15"/>
  <c r="F1100" i="15" s="1"/>
  <c r="E1101" i="15"/>
  <c r="F1101" i="15" s="1"/>
  <c r="C1139" i="15"/>
  <c r="C1140" i="15"/>
  <c r="C1142" i="15"/>
  <c r="F1142" i="15" s="1"/>
  <c r="F1143" i="15"/>
  <c r="F1145" i="15"/>
  <c r="F1146" i="15"/>
  <c r="F1147" i="15"/>
  <c r="F1148" i="15"/>
  <c r="F1149" i="15"/>
  <c r="F1150" i="15"/>
  <c r="E1152" i="15"/>
  <c r="F1152" i="15" s="1"/>
  <c r="E1153" i="15"/>
  <c r="F1153" i="15" s="1"/>
  <c r="E1154" i="15"/>
  <c r="F1154" i="15" s="1"/>
  <c r="E1155" i="15"/>
  <c r="F1155" i="15" s="1"/>
  <c r="F1173" i="15"/>
  <c r="F1174" i="15"/>
  <c r="F1175" i="15"/>
  <c r="F1176" i="15"/>
  <c r="F1177" i="15"/>
  <c r="F1178" i="15"/>
  <c r="F1179" i="15"/>
  <c r="E1181" i="15"/>
  <c r="F1181" i="15" s="1"/>
  <c r="E1182" i="15"/>
  <c r="F1182" i="15" s="1"/>
  <c r="E1183" i="15"/>
  <c r="F1183" i="15" s="1"/>
  <c r="E1184" i="15"/>
  <c r="F1184" i="15" s="1"/>
  <c r="E1198" i="15"/>
  <c r="F1198" i="15" s="1"/>
  <c r="E1199" i="15"/>
  <c r="F1199" i="15" s="1"/>
  <c r="F1202" i="15"/>
  <c r="E1206" i="15"/>
  <c r="F1206" i="15" s="1"/>
  <c r="E1207" i="15"/>
  <c r="F1207" i="15" s="1"/>
  <c r="E1208" i="15"/>
  <c r="F1208" i="15" s="1"/>
  <c r="F1211" i="15"/>
  <c r="F1231" i="15"/>
  <c r="E1232" i="15"/>
  <c r="F1232" i="15" s="1"/>
  <c r="E1235" i="15" s="1"/>
  <c r="F1235" i="15" s="1"/>
  <c r="E1233" i="15"/>
  <c r="F1233" i="15" s="1"/>
  <c r="E1234" i="15"/>
  <c r="F1234" i="15"/>
  <c r="E1256" i="15"/>
  <c r="E1258" i="15" s="1"/>
  <c r="F1258" i="15" s="1"/>
  <c r="E1257" i="15"/>
  <c r="F1257" i="15" s="1"/>
  <c r="F1260" i="15"/>
  <c r="E1262" i="15"/>
  <c r="F1262" i="15" s="1"/>
  <c r="E1263" i="15"/>
  <c r="F1263" i="15" s="1"/>
  <c r="F1267" i="15"/>
  <c r="C1269" i="15"/>
  <c r="E1269" i="15"/>
  <c r="F1278" i="15"/>
  <c r="E1279" i="15"/>
  <c r="F1279" i="15" s="1"/>
  <c r="E1280" i="15"/>
  <c r="F1280" i="15" s="1"/>
  <c r="E1284" i="15"/>
  <c r="F1284" i="15" s="1"/>
  <c r="E1285" i="15"/>
  <c r="F1285" i="15" s="1"/>
  <c r="E1286" i="15"/>
  <c r="F1286" i="15" s="1"/>
  <c r="E1292" i="15"/>
  <c r="F1292" i="15" s="1"/>
  <c r="E1294" i="15"/>
  <c r="F1294" i="15" s="1"/>
  <c r="E1306" i="15"/>
  <c r="F1306" i="15" s="1"/>
  <c r="E1307" i="15"/>
  <c r="F1307" i="15" s="1"/>
  <c r="E1308" i="15"/>
  <c r="F1308" i="15" s="1"/>
  <c r="F1312" i="15"/>
  <c r="E1321" i="15"/>
  <c r="F1321" i="15" s="1"/>
  <c r="E1322" i="15"/>
  <c r="F1322" i="15"/>
  <c r="F1326" i="15"/>
  <c r="F1354" i="15"/>
  <c r="F1355" i="15"/>
  <c r="F1356" i="15"/>
  <c r="F1359" i="15"/>
  <c r="F1360" i="15"/>
  <c r="F1361" i="15"/>
  <c r="F1362" i="15"/>
  <c r="E1368" i="15"/>
  <c r="F1368" i="15" s="1"/>
  <c r="E1369" i="15"/>
  <c r="F1369" i="15" s="1"/>
  <c r="E1373" i="15"/>
  <c r="F1373" i="15" s="1"/>
  <c r="E1374" i="15"/>
  <c r="F1374" i="15"/>
  <c r="G1389" i="15"/>
  <c r="E1390" i="15"/>
  <c r="G1390" i="15" s="1"/>
  <c r="E1391" i="15"/>
  <c r="G1391" i="15" s="1"/>
  <c r="E1392" i="15"/>
  <c r="G1392" i="15" s="1"/>
  <c r="E1393" i="15"/>
  <c r="G1393" i="15" s="1"/>
  <c r="E1395" i="15"/>
  <c r="G1395" i="15" s="1"/>
  <c r="E1396" i="15"/>
  <c r="G1396" i="15" s="1"/>
  <c r="E1397" i="15"/>
  <c r="G1397" i="15" s="1"/>
  <c r="E1400" i="15"/>
  <c r="G1400" i="15" s="1"/>
  <c r="G1402" i="15"/>
  <c r="H1407" i="15"/>
  <c r="H1408" i="15"/>
  <c r="E1422" i="15"/>
  <c r="G1422" i="15"/>
  <c r="E1423" i="15"/>
  <c r="E1424" i="15" s="1"/>
  <c r="G1424" i="15" s="1"/>
  <c r="G1423" i="15"/>
  <c r="E1425" i="15"/>
  <c r="G1425" i="15"/>
  <c r="E1427" i="15"/>
  <c r="G1427" i="15"/>
  <c r="E1428" i="15"/>
  <c r="G1428" i="15"/>
  <c r="E1429" i="15"/>
  <c r="G1429" i="15"/>
  <c r="C1432" i="15"/>
  <c r="E1432" i="15"/>
  <c r="G1432" i="15" s="1"/>
  <c r="E1434" i="15"/>
  <c r="G1434" i="15" s="1"/>
  <c r="H1438" i="15"/>
  <c r="H1439" i="15" s="1"/>
  <c r="E1451" i="15"/>
  <c r="F1451" i="15" s="1"/>
  <c r="F1452" i="15"/>
  <c r="E1453" i="15"/>
  <c r="F1453" i="15" s="1"/>
  <c r="E1454" i="15"/>
  <c r="F1454" i="15"/>
  <c r="E1455" i="15"/>
  <c r="F1455" i="15" s="1"/>
  <c r="E1460" i="15"/>
  <c r="F1460" i="15" s="1"/>
  <c r="F1461" i="15"/>
  <c r="E1472" i="15"/>
  <c r="G1472" i="15" s="1"/>
  <c r="E1473" i="15"/>
  <c r="G1473" i="15" s="1"/>
  <c r="E1474" i="15"/>
  <c r="G1474" i="15" s="1"/>
  <c r="E1476" i="15"/>
  <c r="G1476" i="15" s="1"/>
  <c r="C1489" i="15" s="1"/>
  <c r="E1477" i="15"/>
  <c r="G1477" i="15"/>
  <c r="E1480" i="15"/>
  <c r="G1480" i="15"/>
  <c r="E1482" i="15"/>
  <c r="G1482" i="15" s="1"/>
  <c r="H1485" i="15"/>
  <c r="H1486" i="15"/>
  <c r="H18" i="20"/>
  <c r="H19" i="20"/>
  <c r="H20" i="20"/>
  <c r="H21" i="20"/>
  <c r="H25" i="20"/>
  <c r="H26" i="20"/>
  <c r="H28" i="20"/>
  <c r="H30" i="20"/>
  <c r="H31" i="20"/>
  <c r="G39" i="20"/>
  <c r="E6" i="39"/>
  <c r="F6" i="39"/>
  <c r="E7" i="39"/>
  <c r="F7" i="39" s="1"/>
  <c r="E8" i="39"/>
  <c r="F8" i="39"/>
  <c r="E10" i="39"/>
  <c r="E11" i="39"/>
  <c r="F11" i="39" s="1"/>
  <c r="E15" i="39"/>
  <c r="F15" i="39" s="1"/>
  <c r="E16" i="39"/>
  <c r="F16" i="39" s="1"/>
  <c r="E22" i="39"/>
  <c r="F22" i="39" s="1"/>
  <c r="F27" i="39"/>
  <c r="F28" i="39"/>
  <c r="E42" i="39"/>
  <c r="F42" i="39" s="1"/>
  <c r="E43" i="39"/>
  <c r="F43" i="39" s="1"/>
  <c r="E52" i="39"/>
  <c r="F52" i="39"/>
  <c r="E53" i="39"/>
  <c r="F53" i="39"/>
  <c r="F58" i="39"/>
  <c r="F59" i="39"/>
  <c r="F67" i="39"/>
  <c r="F70" i="39"/>
  <c r="F72" i="39" s="1"/>
  <c r="F71" i="39"/>
  <c r="F75" i="39"/>
  <c r="F76" i="39"/>
  <c r="F78" i="39"/>
  <c r="F79" i="39"/>
  <c r="F83" i="39" s="1"/>
  <c r="F80" i="39"/>
  <c r="F82" i="39"/>
  <c r="F86" i="39"/>
  <c r="F87" i="39"/>
  <c r="F94" i="39"/>
  <c r="F97" i="39"/>
  <c r="F98" i="39"/>
  <c r="F99" i="39"/>
  <c r="F111" i="39"/>
  <c r="E114" i="39"/>
  <c r="F114" i="39" s="1"/>
  <c r="E115" i="39"/>
  <c r="F115" i="39"/>
  <c r="E116" i="39"/>
  <c r="F116" i="39" s="1"/>
  <c r="F119" i="39"/>
  <c r="F124" i="39"/>
  <c r="F130" i="39"/>
  <c r="F141" i="39"/>
  <c r="F151" i="39"/>
  <c r="F152" i="39"/>
  <c r="F153" i="39"/>
  <c r="F154" i="39"/>
  <c r="E157" i="39"/>
  <c r="F157" i="39"/>
  <c r="E158" i="39"/>
  <c r="F158" i="39" s="1"/>
  <c r="F161" i="39"/>
  <c r="F170" i="39"/>
  <c r="F171" i="39"/>
  <c r="E174" i="39"/>
  <c r="F174" i="39" s="1"/>
  <c r="E175" i="39"/>
  <c r="F175" i="39" s="1"/>
  <c r="F178" i="39"/>
  <c r="F185" i="39"/>
  <c r="F187" i="39"/>
  <c r="F188" i="39"/>
  <c r="E191" i="39"/>
  <c r="F191" i="39" s="1"/>
  <c r="E192" i="39"/>
  <c r="F192" i="39" s="1"/>
  <c r="F201" i="39"/>
  <c r="F203" i="39"/>
  <c r="F204" i="39"/>
  <c r="E207" i="39"/>
  <c r="F207" i="39" s="1"/>
  <c r="E208" i="39"/>
  <c r="F208" i="39" s="1"/>
  <c r="F219" i="39"/>
  <c r="F220" i="39"/>
  <c r="F221" i="39"/>
  <c r="E224" i="39"/>
  <c r="F224" i="39"/>
  <c r="E225" i="39"/>
  <c r="F225" i="39"/>
  <c r="F236" i="39"/>
  <c r="F237" i="39"/>
  <c r="F238" i="39"/>
  <c r="F241" i="39"/>
  <c r="F242" i="39"/>
  <c r="F245" i="39"/>
  <c r="F255" i="39"/>
  <c r="F256" i="39"/>
  <c r="F262" i="39"/>
  <c r="F270" i="39"/>
  <c r="F271" i="39"/>
  <c r="E274" i="39"/>
  <c r="F274" i="39"/>
  <c r="E275" i="39"/>
  <c r="F275" i="39" s="1"/>
  <c r="F288" i="39"/>
  <c r="F289" i="39"/>
  <c r="F291" i="39"/>
  <c r="F292" i="39" s="1"/>
  <c r="F293" i="39"/>
  <c r="F294" i="39" s="1"/>
  <c r="E299" i="39"/>
  <c r="F299" i="39" s="1"/>
  <c r="E300" i="39"/>
  <c r="F300" i="39"/>
  <c r="E302" i="39"/>
  <c r="F302" i="39" s="1"/>
  <c r="E303" i="39"/>
  <c r="F303" i="39"/>
  <c r="E304" i="39"/>
  <c r="F304" i="39" s="1"/>
  <c r="F309" i="39"/>
  <c r="E318" i="39"/>
  <c r="F318" i="39" s="1"/>
  <c r="E319" i="39"/>
  <c r="F319" i="39" s="1"/>
  <c r="E321" i="39"/>
  <c r="F321" i="39" s="1"/>
  <c r="E322" i="39"/>
  <c r="F322" i="39" s="1"/>
  <c r="E323" i="39"/>
  <c r="F323" i="39" s="1"/>
  <c r="F328" i="39"/>
  <c r="D336" i="39"/>
  <c r="E336" i="39"/>
  <c r="F336" i="39" s="1"/>
  <c r="E16" i="40" s="1"/>
  <c r="F16" i="40" s="1"/>
  <c r="D337" i="39"/>
  <c r="E337" i="39" s="1"/>
  <c r="F337" i="39" s="1"/>
  <c r="D338" i="39"/>
  <c r="E338" i="39" s="1"/>
  <c r="F338" i="39" s="1"/>
  <c r="E18" i="40" s="1"/>
  <c r="F18" i="40" s="1"/>
  <c r="D339" i="39"/>
  <c r="E339" i="39" s="1"/>
  <c r="F339" i="39" s="1"/>
  <c r="D340" i="39"/>
  <c r="E340" i="39"/>
  <c r="F340" i="39"/>
  <c r="E20" i="40" s="1"/>
  <c r="F20" i="40" s="1"/>
  <c r="D341" i="39"/>
  <c r="E341" i="39" s="1"/>
  <c r="F341" i="39" s="1"/>
  <c r="E20" i="41" s="1"/>
  <c r="F20" i="41" s="1"/>
  <c r="E344" i="39"/>
  <c r="F344" i="39"/>
  <c r="E345" i="39"/>
  <c r="F345" i="39"/>
  <c r="F357" i="39"/>
  <c r="F358" i="39"/>
  <c r="F359" i="39" s="1"/>
  <c r="E23" i="40" s="1"/>
  <c r="F23" i="40" s="1"/>
  <c r="E364" i="39"/>
  <c r="F364" i="39" s="1"/>
  <c r="F366" i="39" s="1"/>
  <c r="E368" i="39"/>
  <c r="F368" i="39" s="1"/>
  <c r="E369" i="39"/>
  <c r="F369" i="39" s="1"/>
  <c r="E382" i="39"/>
  <c r="F382" i="39"/>
  <c r="F384" i="39" s="1"/>
  <c r="E386" i="39"/>
  <c r="F386" i="39"/>
  <c r="E387" i="39"/>
  <c r="F387" i="39" s="1"/>
  <c r="E400" i="39"/>
  <c r="F400" i="39" s="1"/>
  <c r="F401" i="39"/>
  <c r="F402" i="39"/>
  <c r="E404" i="39"/>
  <c r="F404" i="39" s="1"/>
  <c r="E405" i="39"/>
  <c r="F405" i="39" s="1"/>
  <c r="E418" i="39"/>
  <c r="F418" i="39"/>
  <c r="E422" i="39"/>
  <c r="F422" i="39" s="1"/>
  <c r="E423" i="39"/>
  <c r="F423" i="39" s="1"/>
  <c r="E436" i="39"/>
  <c r="F436" i="39" s="1"/>
  <c r="F437" i="39"/>
  <c r="F438" i="39"/>
  <c r="E440" i="39"/>
  <c r="F440" i="39" s="1"/>
  <c r="E441" i="39"/>
  <c r="F441" i="39"/>
  <c r="F456" i="39"/>
  <c r="E458" i="39"/>
  <c r="F458" i="39" s="1"/>
  <c r="E459" i="39"/>
  <c r="F459" i="39" s="1"/>
  <c r="F474" i="39"/>
  <c r="E476" i="39"/>
  <c r="F476" i="39" s="1"/>
  <c r="E477" i="39"/>
  <c r="F477" i="39"/>
  <c r="F491" i="39"/>
  <c r="E493" i="39"/>
  <c r="F493" i="39" s="1"/>
  <c r="E494" i="39"/>
  <c r="F494" i="39" s="1"/>
  <c r="F508" i="39"/>
  <c r="F510" i="39"/>
  <c r="F513" i="39" s="1"/>
  <c r="F511" i="39"/>
  <c r="F525" i="39"/>
  <c r="E527" i="39"/>
  <c r="F527" i="39" s="1"/>
  <c r="F533" i="39" s="1"/>
  <c r="F534" i="39" s="1"/>
  <c r="E528" i="39"/>
  <c r="F528" i="39"/>
  <c r="E542" i="39"/>
  <c r="F542" i="39" s="1"/>
  <c r="E543" i="39"/>
  <c r="F543" i="39"/>
  <c r="E544" i="39"/>
  <c r="F544" i="39" s="1"/>
  <c r="F550" i="39"/>
  <c r="F584" i="39"/>
  <c r="F585" i="39"/>
  <c r="E597" i="39"/>
  <c r="F609" i="39"/>
  <c r="I609" i="39"/>
  <c r="I610" i="39"/>
  <c r="E611" i="39"/>
  <c r="F611" i="39" s="1"/>
  <c r="F628" i="39" s="1"/>
  <c r="F616" i="39"/>
  <c r="F617" i="39"/>
  <c r="F618" i="39"/>
  <c r="F620" i="39"/>
  <c r="F621" i="39"/>
  <c r="E626" i="39"/>
  <c r="F626" i="39" s="1"/>
  <c r="F634" i="39"/>
  <c r="F636" i="39"/>
  <c r="C638" i="39"/>
  <c r="E643" i="39"/>
  <c r="F643" i="39" s="1"/>
  <c r="E645" i="39"/>
  <c r="F645" i="39" s="1"/>
  <c r="E646" i="39"/>
  <c r="F646" i="39" s="1"/>
  <c r="F657" i="39"/>
  <c r="F672" i="39"/>
  <c r="E674" i="39"/>
  <c r="F674" i="39" s="1"/>
  <c r="E676" i="39" s="1"/>
  <c r="F677" i="39" s="1"/>
  <c r="E675" i="39"/>
  <c r="F675" i="39" s="1"/>
  <c r="F683" i="39"/>
  <c r="F684" i="39"/>
  <c r="F685" i="39"/>
  <c r="F686" i="39"/>
  <c r="F687" i="39"/>
  <c r="F691" i="39"/>
  <c r="E698" i="39"/>
  <c r="F698" i="39" s="1"/>
  <c r="E699" i="39"/>
  <c r="F699" i="39" s="1"/>
  <c r="E700" i="39"/>
  <c r="F700" i="39" s="1"/>
  <c r="E702" i="39"/>
  <c r="F702" i="39" s="1"/>
  <c r="E704" i="39" s="1"/>
  <c r="F704" i="39" s="1"/>
  <c r="E703" i="39"/>
  <c r="F703" i="39" s="1"/>
  <c r="E705" i="39"/>
  <c r="F705" i="39" s="1"/>
  <c r="E706" i="39"/>
  <c r="F706" i="39" s="1"/>
  <c r="E707" i="39"/>
  <c r="F707" i="39" s="1"/>
  <c r="F713" i="39"/>
  <c r="E714" i="39"/>
  <c r="F714" i="39"/>
  <c r="F715" i="39"/>
  <c r="F716" i="39"/>
  <c r="F717" i="39"/>
  <c r="E719" i="39"/>
  <c r="F719" i="39" s="1"/>
  <c r="E721" i="39"/>
  <c r="F721" i="39"/>
  <c r="F722" i="39"/>
  <c r="F723" i="39"/>
  <c r="F724" i="39"/>
  <c r="F725" i="39"/>
  <c r="E730" i="39"/>
  <c r="F730" i="39" s="1"/>
  <c r="E731" i="39"/>
  <c r="F731" i="39"/>
  <c r="E732" i="39"/>
  <c r="F732" i="39" s="1"/>
  <c r="F741" i="39"/>
  <c r="F742" i="39"/>
  <c r="C743" i="39"/>
  <c r="F743" i="39" s="1"/>
  <c r="C744" i="39"/>
  <c r="F744" i="39"/>
  <c r="C745" i="39"/>
  <c r="F745" i="39" s="1"/>
  <c r="F748" i="39"/>
  <c r="F749" i="39"/>
  <c r="F750" i="39"/>
  <c r="F753" i="39"/>
  <c r="C755" i="39"/>
  <c r="F755" i="39" s="1"/>
  <c r="C756" i="39"/>
  <c r="F756" i="39"/>
  <c r="C757" i="39"/>
  <c r="F757" i="39" s="1"/>
  <c r="F763" i="39"/>
  <c r="F764" i="39" s="1"/>
  <c r="C765" i="39"/>
  <c r="F765" i="39"/>
  <c r="C766" i="39"/>
  <c r="F766" i="39" s="1"/>
  <c r="C767" i="39"/>
  <c r="F767" i="39"/>
  <c r="F770" i="39"/>
  <c r="F775" i="39" s="1"/>
  <c r="F771" i="39"/>
  <c r="F772" i="39"/>
  <c r="F774" i="39"/>
  <c r="C777" i="39"/>
  <c r="F777" i="39"/>
  <c r="C778" i="39"/>
  <c r="F778" i="39" s="1"/>
  <c r="C779" i="39"/>
  <c r="F779" i="39"/>
  <c r="F785" i="39"/>
  <c r="F786" i="39"/>
  <c r="C787" i="39"/>
  <c r="F787" i="39" s="1"/>
  <c r="E787" i="39"/>
  <c r="E788" i="39"/>
  <c r="F788" i="39"/>
  <c r="C789" i="39"/>
  <c r="F789" i="39" s="1"/>
  <c r="F792" i="39"/>
  <c r="F793" i="39"/>
  <c r="F797" i="39" s="1"/>
  <c r="F794" i="39"/>
  <c r="F796" i="39"/>
  <c r="C799" i="39"/>
  <c r="F799" i="39" s="1"/>
  <c r="C800" i="39"/>
  <c r="E800" i="39"/>
  <c r="C801" i="39"/>
  <c r="E801" i="39"/>
  <c r="F801" i="39"/>
  <c r="C815" i="39"/>
  <c r="F824" i="39"/>
  <c r="F825" i="39"/>
  <c r="F826" i="39"/>
  <c r="F827" i="39"/>
  <c r="F828" i="39"/>
  <c r="F833" i="39"/>
  <c r="E834" i="39"/>
  <c r="F834" i="39" s="1"/>
  <c r="F835" i="39"/>
  <c r="C836" i="39"/>
  <c r="E836" i="39"/>
  <c r="E837" i="39"/>
  <c r="F837" i="39"/>
  <c r="E838" i="39"/>
  <c r="F838" i="39" s="1"/>
  <c r="C839" i="39"/>
  <c r="E839" i="39"/>
  <c r="F839" i="39" s="1"/>
  <c r="F840" i="39"/>
  <c r="E841" i="39"/>
  <c r="F841" i="39"/>
  <c r="F842" i="39"/>
  <c r="F843" i="39"/>
  <c r="F844" i="39"/>
  <c r="F845" i="39"/>
  <c r="F846" i="39"/>
  <c r="F5" i="35"/>
  <c r="F6" i="35"/>
  <c r="F7" i="35"/>
  <c r="F8" i="35"/>
  <c r="F9" i="35"/>
  <c r="F10" i="35"/>
  <c r="F11" i="35"/>
  <c r="F12" i="35"/>
  <c r="F13" i="35"/>
  <c r="F14" i="35"/>
  <c r="F15" i="35"/>
  <c r="F16" i="35"/>
  <c r="C19" i="35"/>
  <c r="F19" i="35" s="1"/>
  <c r="F20" i="35"/>
  <c r="F21" i="35"/>
  <c r="G5" i="36"/>
  <c r="G6" i="36"/>
  <c r="G7" i="36" s="1"/>
  <c r="G9" i="36"/>
  <c r="G11" i="36"/>
  <c r="G14" i="36"/>
  <c r="G17" i="36" s="1"/>
  <c r="G15" i="36"/>
  <c r="G16" i="36"/>
  <c r="G21" i="36"/>
  <c r="D22" i="36"/>
  <c r="G22" i="36" s="1"/>
  <c r="G27" i="36"/>
  <c r="G29" i="36" s="1"/>
  <c r="C77" i="36" s="1"/>
  <c r="E77" i="36" s="1"/>
  <c r="G28" i="36"/>
  <c r="G31" i="36"/>
  <c r="G32" i="36"/>
  <c r="G34" i="36" s="1"/>
  <c r="C74" i="36" s="1"/>
  <c r="E74" i="36" s="1"/>
  <c r="G33" i="36"/>
  <c r="G38" i="36"/>
  <c r="G39" i="36"/>
  <c r="G40" i="36"/>
  <c r="G41" i="36"/>
  <c r="F42" i="36"/>
  <c r="G42" i="36"/>
  <c r="G43" i="36"/>
  <c r="C78" i="36" s="1"/>
  <c r="E78" i="36" s="1"/>
  <c r="F45" i="36"/>
  <c r="G45" i="36" s="1"/>
  <c r="G49" i="36" s="1"/>
  <c r="G46" i="36"/>
  <c r="G47" i="36"/>
  <c r="G48" i="36"/>
  <c r="G51" i="36"/>
  <c r="G52" i="36"/>
  <c r="G53" i="36"/>
  <c r="G54" i="36"/>
  <c r="G55" i="36"/>
  <c r="C76" i="36" s="1"/>
  <c r="E76" i="36" s="1"/>
  <c r="G57" i="36"/>
  <c r="D58" i="36"/>
  <c r="G58" i="36" s="1"/>
  <c r="G59" i="36"/>
  <c r="G62" i="36"/>
  <c r="G63" i="36"/>
  <c r="G64" i="36"/>
  <c r="G65" i="36"/>
  <c r="C80" i="36" s="1"/>
  <c r="E80" i="36" s="1"/>
  <c r="G67" i="36"/>
  <c r="C72" i="36" s="1"/>
  <c r="E72" i="36" s="1"/>
  <c r="C75" i="36"/>
  <c r="E75" i="36" s="1"/>
  <c r="C79" i="36"/>
  <c r="E79" i="36" s="1"/>
  <c r="G86" i="36"/>
  <c r="G87" i="36"/>
  <c r="G88" i="36"/>
  <c r="G89" i="36"/>
  <c r="G90" i="36"/>
  <c r="G91" i="36"/>
  <c r="G92" i="36"/>
  <c r="G93" i="36"/>
  <c r="G98" i="36"/>
  <c r="G99" i="36"/>
  <c r="G100" i="36"/>
  <c r="G101" i="36"/>
  <c r="G102" i="36"/>
  <c r="G103" i="36"/>
  <c r="G104" i="36"/>
  <c r="G105" i="36"/>
  <c r="G109" i="36"/>
  <c r="G110" i="36" s="1"/>
  <c r="G111" i="36" s="1"/>
  <c r="G114" i="36"/>
  <c r="G115" i="36"/>
  <c r="G118" i="36"/>
  <c r="G121" i="36" s="1"/>
  <c r="G119" i="36"/>
  <c r="G120" i="36"/>
  <c r="F4" i="38"/>
  <c r="C5" i="38"/>
  <c r="F5" i="38"/>
  <c r="F6" i="38"/>
  <c r="C7" i="38"/>
  <c r="F7" i="38" s="1"/>
  <c r="E7" i="38"/>
  <c r="C8" i="38"/>
  <c r="F8" i="38"/>
  <c r="C9" i="38"/>
  <c r="F9" i="38"/>
  <c r="C10" i="38"/>
  <c r="F10" i="38"/>
  <c r="E21" i="40"/>
  <c r="F21" i="40" s="1"/>
  <c r="E15" i="41"/>
  <c r="F15" i="41"/>
  <c r="E17" i="41"/>
  <c r="F17" i="41" s="1"/>
  <c r="E19" i="41"/>
  <c r="F19" i="41"/>
  <c r="E22" i="41"/>
  <c r="F22" i="41" s="1"/>
  <c r="F40" i="41"/>
  <c r="C5" i="42"/>
  <c r="C7" i="42" s="1"/>
  <c r="E5" i="42"/>
  <c r="E7" i="42"/>
  <c r="C9" i="42"/>
  <c r="E9" i="42"/>
  <c r="F9" i="42" s="1"/>
  <c r="E23" i="42"/>
  <c r="E24" i="42"/>
  <c r="E25" i="42"/>
  <c r="E28" i="42"/>
  <c r="E29" i="42"/>
  <c r="E31" i="42"/>
  <c r="E32" i="42"/>
  <c r="E36" i="42"/>
  <c r="E38" i="42"/>
  <c r="E40" i="42"/>
  <c r="E42" i="42"/>
  <c r="E46" i="42"/>
  <c r="E50" i="42"/>
  <c r="E52" i="42"/>
  <c r="E54" i="42"/>
  <c r="E60" i="42"/>
  <c r="C62" i="42"/>
  <c r="E64" i="42"/>
  <c r="C66" i="42"/>
  <c r="F66" i="42" s="1"/>
  <c r="E73" i="42"/>
  <c r="E75" i="42"/>
  <c r="H9" i="43"/>
  <c r="H10" i="43"/>
  <c r="G16" i="43"/>
  <c r="H16" i="43" s="1"/>
  <c r="C17" i="42" s="1"/>
  <c r="H20" i="43"/>
  <c r="H21" i="43"/>
  <c r="H22" i="43"/>
  <c r="H23" i="43"/>
  <c r="H24" i="43"/>
  <c r="H28" i="43"/>
  <c r="H34" i="43" s="1"/>
  <c r="C19" i="42" s="1"/>
  <c r="H29" i="43"/>
  <c r="H30" i="43"/>
  <c r="H31" i="43"/>
  <c r="H32" i="43"/>
  <c r="H33" i="43"/>
  <c r="H37" i="43"/>
  <c r="H40" i="43"/>
  <c r="C23" i="42" s="1"/>
  <c r="H43" i="43"/>
  <c r="H45" i="43" s="1"/>
  <c r="C26" i="42" s="1"/>
  <c r="H44" i="43"/>
  <c r="H47" i="43"/>
  <c r="H48" i="43"/>
  <c r="H49" i="43" s="1"/>
  <c r="C25" i="42" s="1"/>
  <c r="H51" i="43"/>
  <c r="C24" i="42" s="1"/>
  <c r="H54" i="43"/>
  <c r="C28" i="42" s="1"/>
  <c r="H56" i="43"/>
  <c r="H61" i="43" s="1"/>
  <c r="C31" i="42" s="1"/>
  <c r="H57" i="43"/>
  <c r="H58" i="43"/>
  <c r="H59" i="43"/>
  <c r="H60" i="43"/>
  <c r="H63" i="43"/>
  <c r="C32" i="42" s="1"/>
  <c r="H66" i="43"/>
  <c r="H67" i="43"/>
  <c r="H68" i="43" s="1"/>
  <c r="C29" i="42" s="1"/>
  <c r="H70" i="43"/>
  <c r="H71" i="43"/>
  <c r="C30" i="42" s="1"/>
  <c r="F77" i="43"/>
  <c r="G77" i="43"/>
  <c r="H77" i="43" s="1"/>
  <c r="F78" i="43"/>
  <c r="G78" i="43"/>
  <c r="H78" i="43"/>
  <c r="F79" i="43"/>
  <c r="H79" i="43" s="1"/>
  <c r="G79" i="43"/>
  <c r="H82" i="43"/>
  <c r="H83" i="43"/>
  <c r="H84" i="43"/>
  <c r="H85" i="43"/>
  <c r="H89" i="43" s="1"/>
  <c r="H86" i="43"/>
  <c r="H87" i="43"/>
  <c r="H88" i="43"/>
  <c r="O88" i="43"/>
  <c r="H91" i="43"/>
  <c r="L91" i="43"/>
  <c r="H92" i="43"/>
  <c r="H95" i="43" s="1"/>
  <c r="H93" i="43"/>
  <c r="H94" i="43"/>
  <c r="H100" i="43"/>
  <c r="C60" i="42" s="1"/>
  <c r="H103" i="43"/>
  <c r="H104" i="43"/>
  <c r="H105" i="43"/>
  <c r="H106" i="43"/>
  <c r="H107" i="43"/>
  <c r="H108" i="43"/>
  <c r="H109" i="43"/>
  <c r="H110" i="43"/>
  <c r="H111" i="43"/>
  <c r="H112" i="43"/>
  <c r="H113" i="43"/>
  <c r="H115" i="43"/>
  <c r="H116" i="43"/>
  <c r="H117" i="43"/>
  <c r="H118" i="43"/>
  <c r="H119" i="43" s="1"/>
  <c r="H124" i="43"/>
  <c r="H125" i="43"/>
  <c r="H133" i="43" s="1"/>
  <c r="H128" i="43"/>
  <c r="H129" i="43"/>
  <c r="H130" i="43"/>
  <c r="H131" i="43"/>
  <c r="H135" i="43"/>
  <c r="H141" i="43"/>
  <c r="H142" i="43"/>
  <c r="H143" i="43"/>
  <c r="H144" i="43"/>
  <c r="H146" i="43"/>
  <c r="H148" i="43" s="1"/>
  <c r="H150" i="43" s="1"/>
  <c r="C44" i="42" s="1"/>
  <c r="H147" i="43"/>
  <c r="H152" i="43"/>
  <c r="H154" i="43" s="1"/>
  <c r="C46" i="42" s="1"/>
  <c r="H153" i="43"/>
  <c r="H157" i="43"/>
  <c r="H158" i="43"/>
  <c r="H159" i="43"/>
  <c r="H160" i="43"/>
  <c r="H161" i="43"/>
  <c r="C48" i="42" s="1"/>
  <c r="H164" i="43"/>
  <c r="H165" i="43"/>
  <c r="H166" i="43"/>
  <c r="H167" i="43"/>
  <c r="C50" i="42" s="1"/>
  <c r="H170" i="43"/>
  <c r="C64" i="42" s="1"/>
  <c r="H171" i="43"/>
  <c r="E172" i="43"/>
  <c r="H172" i="43"/>
  <c r="C68" i="42" s="1"/>
  <c r="F68" i="42" s="1"/>
  <c r="H175" i="43"/>
  <c r="C54" i="42" s="1"/>
  <c r="H176" i="43"/>
  <c r="C52" i="42" s="1"/>
  <c r="H177" i="43"/>
  <c r="H178" i="43"/>
  <c r="C73" i="42" s="1"/>
  <c r="F73" i="42" s="1"/>
  <c r="H180" i="43"/>
  <c r="C75" i="42" s="1"/>
  <c r="F75" i="42" s="1"/>
  <c r="E4" i="71"/>
  <c r="F4" i="71"/>
  <c r="E5" i="71"/>
  <c r="F5" i="71" s="1"/>
  <c r="E32" i="71"/>
  <c r="F32" i="71"/>
  <c r="E33" i="71" s="1"/>
  <c r="F33" i="71" s="1"/>
  <c r="E36" i="71"/>
  <c r="F36" i="71" s="1"/>
  <c r="E38" i="71"/>
  <c r="F38" i="71"/>
  <c r="E49" i="71"/>
  <c r="F49" i="71" s="1"/>
  <c r="E50" i="71"/>
  <c r="F50" i="71"/>
  <c r="E51" i="71"/>
  <c r="F51" i="71" s="1"/>
  <c r="E52" i="71"/>
  <c r="F52" i="71"/>
  <c r="E54" i="71"/>
  <c r="F54" i="71" s="1"/>
  <c r="E55" i="71"/>
  <c r="F55" i="71"/>
  <c r="E56" i="71"/>
  <c r="F56" i="71" s="1"/>
  <c r="E58" i="71"/>
  <c r="F58" i="71"/>
  <c r="E59" i="71"/>
  <c r="F59" i="71" s="1"/>
  <c r="E65" i="71"/>
  <c r="F65" i="71" s="1"/>
  <c r="E66" i="71"/>
  <c r="F66" i="71" s="1"/>
  <c r="E67" i="71"/>
  <c r="F67" i="71" s="1"/>
  <c r="E87" i="71"/>
  <c r="F87" i="71" s="1"/>
  <c r="E88" i="71"/>
  <c r="F88" i="71" s="1"/>
  <c r="E89" i="71"/>
  <c r="F89" i="71" s="1"/>
  <c r="E91" i="71"/>
  <c r="F91" i="71" s="1"/>
  <c r="E92" i="71"/>
  <c r="F92" i="71" s="1"/>
  <c r="E93" i="71"/>
  <c r="F93" i="71" s="1"/>
  <c r="E98" i="71"/>
  <c r="F98" i="71" s="1"/>
  <c r="E99" i="71"/>
  <c r="F99" i="71" s="1"/>
  <c r="E100" i="71"/>
  <c r="F100" i="71" s="1"/>
  <c r="E107" i="71"/>
  <c r="F107" i="71" s="1"/>
  <c r="E108" i="71"/>
  <c r="F108" i="71" s="1"/>
  <c r="E109" i="71"/>
  <c r="F109" i="71" s="1"/>
  <c r="E111" i="71"/>
  <c r="F111" i="71" s="1"/>
  <c r="E112" i="71"/>
  <c r="F112" i="71" s="1"/>
  <c r="E113" i="71"/>
  <c r="F113" i="71" s="1"/>
  <c r="E114" i="71"/>
  <c r="F114" i="71" s="1"/>
  <c r="E118" i="71"/>
  <c r="F118" i="71" s="1"/>
  <c r="E119" i="71"/>
  <c r="F119" i="71" s="1"/>
  <c r="E120" i="71"/>
  <c r="F120" i="71" s="1"/>
  <c r="E128" i="71"/>
  <c r="F128" i="71" s="1"/>
  <c r="E129" i="71"/>
  <c r="F129" i="71" s="1"/>
  <c r="E130" i="71"/>
  <c r="F130" i="71" s="1"/>
  <c r="E132" i="71"/>
  <c r="F132" i="71" s="1"/>
  <c r="E133" i="71"/>
  <c r="F133" i="71" s="1"/>
  <c r="E134" i="71"/>
  <c r="F134" i="71" s="1"/>
  <c r="E135" i="71"/>
  <c r="F135" i="71" s="1"/>
  <c r="E139" i="71"/>
  <c r="F139" i="71" s="1"/>
  <c r="E140" i="71"/>
  <c r="F140" i="71" s="1"/>
  <c r="E141" i="71"/>
  <c r="F141" i="71" s="1"/>
  <c r="E148" i="71"/>
  <c r="F148" i="71" s="1"/>
  <c r="E149" i="71"/>
  <c r="F149" i="71"/>
  <c r="E150" i="71"/>
  <c r="F150" i="71" s="1"/>
  <c r="E153" i="71"/>
  <c r="F153" i="71"/>
  <c r="E154" i="71"/>
  <c r="F154" i="71"/>
  <c r="E155" i="71"/>
  <c r="F155" i="71"/>
  <c r="E162" i="71"/>
  <c r="F162" i="71"/>
  <c r="E163" i="71"/>
  <c r="F163" i="71"/>
  <c r="E164" i="71"/>
  <c r="F164" i="71"/>
  <c r="F170" i="71"/>
  <c r="F194" i="71"/>
  <c r="F197" i="71" s="1"/>
  <c r="F198" i="71" s="1"/>
  <c r="F195" i="71"/>
  <c r="F196" i="71"/>
  <c r="E200" i="71"/>
  <c r="F200" i="71" s="1"/>
  <c r="E201" i="71"/>
  <c r="F201" i="71"/>
  <c r="F223" i="71"/>
  <c r="F224" i="71"/>
  <c r="F225" i="71"/>
  <c r="F226" i="71"/>
  <c r="F227" i="71"/>
  <c r="F228" i="71" s="1"/>
  <c r="E230" i="71"/>
  <c r="F230" i="71"/>
  <c r="E231" i="71"/>
  <c r="F231" i="71" s="1"/>
  <c r="F252" i="71"/>
  <c r="F253" i="71"/>
  <c r="F254" i="71"/>
  <c r="F255" i="71" s="1"/>
  <c r="F256" i="71" s="1"/>
  <c r="E258" i="71"/>
  <c r="F258" i="71" s="1"/>
  <c r="E259" i="71"/>
  <c r="F259" i="71" s="1"/>
  <c r="F284" i="71"/>
  <c r="F285" i="71"/>
  <c r="F286" i="71"/>
  <c r="E287" i="71"/>
  <c r="F287" i="71" s="1"/>
  <c r="E291" i="71"/>
  <c r="F291" i="71" s="1"/>
  <c r="E292" i="71"/>
  <c r="F292" i="71"/>
  <c r="F316" i="71"/>
  <c r="E317" i="71"/>
  <c r="F317" i="71" s="1"/>
  <c r="F318" i="71"/>
  <c r="E319" i="71"/>
  <c r="F319" i="71" s="1"/>
  <c r="E323" i="71"/>
  <c r="F323" i="71" s="1"/>
  <c r="E324" i="71"/>
  <c r="F324" i="71"/>
  <c r="E344" i="71"/>
  <c r="F344" i="71" s="1"/>
  <c r="E352" i="71" s="1"/>
  <c r="F352" i="71" s="1"/>
  <c r="E345" i="71"/>
  <c r="F345" i="71"/>
  <c r="E346" i="71"/>
  <c r="F346" i="71" s="1"/>
  <c r="E348" i="71"/>
  <c r="F348" i="71"/>
  <c r="E349" i="71"/>
  <c r="F349" i="71" s="1"/>
  <c r="E350" i="71"/>
  <c r="F350" i="71"/>
  <c r="E351" i="71"/>
  <c r="F351" i="71" s="1"/>
  <c r="E355" i="71"/>
  <c r="F355" i="71"/>
  <c r="E356" i="71"/>
  <c r="F356" i="71" s="1"/>
  <c r="E357" i="71"/>
  <c r="F357" i="71"/>
  <c r="E541" i="71"/>
  <c r="F541" i="71" s="1"/>
  <c r="E408" i="71"/>
  <c r="F408" i="71" s="1"/>
  <c r="E423" i="71"/>
  <c r="F423" i="71"/>
  <c r="E424" i="71"/>
  <c r="F424" i="71" s="1"/>
  <c r="E480" i="71"/>
  <c r="F480" i="71"/>
  <c r="F538" i="71"/>
  <c r="E539" i="71"/>
  <c r="F539" i="71" s="1"/>
  <c r="F540" i="71"/>
  <c r="F545" i="71"/>
  <c r="F546" i="71"/>
  <c r="E567" i="71"/>
  <c r="F567" i="71"/>
  <c r="F568" i="71"/>
  <c r="E570" i="71"/>
  <c r="F570" i="71" s="1"/>
  <c r="E571" i="71"/>
  <c r="F571" i="71" s="1"/>
  <c r="E572" i="71"/>
  <c r="F572" i="71" s="1"/>
  <c r="E578" i="71"/>
  <c r="F578" i="71" s="1"/>
  <c r="E599" i="71"/>
  <c r="F599" i="71" s="1"/>
  <c r="E600" i="71"/>
  <c r="F600" i="71"/>
  <c r="E602" i="71"/>
  <c r="F602" i="71" s="1"/>
  <c r="E603" i="71"/>
  <c r="F603" i="71"/>
  <c r="E604" i="71"/>
  <c r="F604" i="71"/>
  <c r="E605" i="71"/>
  <c r="F605" i="71"/>
  <c r="E606" i="71"/>
  <c r="F606" i="71"/>
  <c r="E610" i="71"/>
  <c r="F610" i="71"/>
  <c r="E611" i="71"/>
  <c r="F611" i="71"/>
  <c r="E630" i="71"/>
  <c r="F630" i="71"/>
  <c r="E631" i="71"/>
  <c r="F631" i="71"/>
  <c r="E633" i="71"/>
  <c r="F633" i="71"/>
  <c r="E634" i="71"/>
  <c r="F634" i="71" s="1"/>
  <c r="E635" i="71"/>
  <c r="F635" i="71" s="1"/>
  <c r="E636" i="71"/>
  <c r="F636" i="71" s="1"/>
  <c r="E640" i="71"/>
  <c r="F640" i="71" s="1"/>
  <c r="E641" i="71"/>
  <c r="F641" i="71" s="1"/>
  <c r="E661" i="71"/>
  <c r="F661" i="71" s="1"/>
  <c r="E662" i="71"/>
  <c r="F662" i="71" s="1"/>
  <c r="E664" i="71"/>
  <c r="F664" i="71" s="1"/>
  <c r="E665" i="71"/>
  <c r="F665" i="71"/>
  <c r="E666" i="71"/>
  <c r="F666" i="71"/>
  <c r="E667" i="71"/>
  <c r="F667" i="71"/>
  <c r="E671" i="71"/>
  <c r="F671" i="71"/>
  <c r="E672" i="71"/>
  <c r="F672" i="71"/>
  <c r="F692" i="71"/>
  <c r="E694" i="71"/>
  <c r="F694" i="71" s="1"/>
  <c r="E695" i="71"/>
  <c r="F695" i="71" s="1"/>
  <c r="E696" i="71"/>
  <c r="F696" i="71" s="1"/>
  <c r="E718" i="71"/>
  <c r="F718" i="71" s="1"/>
  <c r="E719" i="71"/>
  <c r="F719" i="71" s="1"/>
  <c r="E726" i="71"/>
  <c r="F726" i="71" s="1"/>
  <c r="E727" i="71"/>
  <c r="F727" i="71" s="1"/>
  <c r="F732" i="71"/>
  <c r="E737" i="71"/>
  <c r="F737" i="71" s="1"/>
  <c r="E738" i="71"/>
  <c r="F738" i="71" s="1"/>
  <c r="F742" i="71"/>
  <c r="F764" i="71"/>
  <c r="F767" i="71"/>
  <c r="F768" i="71"/>
  <c r="F769" i="71"/>
  <c r="G776" i="71"/>
  <c r="F778" i="71"/>
  <c r="F779" i="71"/>
  <c r="F780" i="71"/>
  <c r="F783" i="71"/>
  <c r="E786" i="71"/>
  <c r="F786" i="71"/>
  <c r="E787" i="71"/>
  <c r="F787" i="71"/>
  <c r="F792" i="71"/>
  <c r="F793" i="71"/>
  <c r="F794" i="71"/>
  <c r="F798" i="71" s="1"/>
  <c r="F795" i="71"/>
  <c r="F811" i="71"/>
  <c r="E812" i="71"/>
  <c r="F812" i="71"/>
  <c r="F813" i="71"/>
  <c r="E815" i="71"/>
  <c r="F815" i="71" s="1"/>
  <c r="E816" i="71"/>
  <c r="F816" i="71"/>
  <c r="E822" i="71"/>
  <c r="F822" i="71"/>
  <c r="E831" i="71"/>
  <c r="F831" i="71"/>
  <c r="E832" i="71"/>
  <c r="F832" i="71"/>
  <c r="E833" i="71"/>
  <c r="F833" i="71"/>
  <c r="E835" i="71"/>
  <c r="F835" i="71"/>
  <c r="E836" i="71"/>
  <c r="F836" i="71"/>
  <c r="E837" i="71"/>
  <c r="F837" i="71"/>
  <c r="E843" i="71"/>
  <c r="F843" i="71"/>
  <c r="E844" i="71"/>
  <c r="F844" i="71"/>
  <c r="E845" i="71"/>
  <c r="F845" i="71"/>
  <c r="E854" i="71"/>
  <c r="F854" i="71"/>
  <c r="E855" i="71"/>
  <c r="F855" i="71" s="1"/>
  <c r="E856" i="71"/>
  <c r="F856" i="71" s="1"/>
  <c r="E857" i="71"/>
  <c r="F857" i="71" s="1"/>
  <c r="E859" i="71"/>
  <c r="F859" i="71" s="1"/>
  <c r="E860" i="71"/>
  <c r="F860" i="71"/>
  <c r="F864" i="71"/>
  <c r="E867" i="71"/>
  <c r="F867" i="71" s="1"/>
  <c r="C868" i="71"/>
  <c r="E868" i="71"/>
  <c r="F868" i="71"/>
  <c r="E887" i="71"/>
  <c r="F887" i="71" s="1"/>
  <c r="E888" i="71"/>
  <c r="F888" i="71"/>
  <c r="E889" i="71"/>
  <c r="F889" i="71" s="1"/>
  <c r="E891" i="71"/>
  <c r="F891" i="71"/>
  <c r="E892" i="71"/>
  <c r="F892" i="71" s="1"/>
  <c r="F896" i="71"/>
  <c r="E898" i="71"/>
  <c r="F898" i="71"/>
  <c r="E899" i="71"/>
  <c r="F899" i="71" s="1"/>
  <c r="C900" i="71"/>
  <c r="E900" i="71"/>
  <c r="F900" i="71" s="1"/>
  <c r="F921" i="71"/>
  <c r="E922" i="71"/>
  <c r="F922" i="71"/>
  <c r="E923" i="71"/>
  <c r="F923" i="71"/>
  <c r="E924" i="71"/>
  <c r="F924" i="71"/>
  <c r="F925" i="71"/>
  <c r="E927" i="71"/>
  <c r="F927" i="71" s="1"/>
  <c r="E928" i="71"/>
  <c r="F928" i="71" s="1"/>
  <c r="E933" i="71"/>
  <c r="F933" i="71"/>
  <c r="E934" i="71"/>
  <c r="F934" i="71" s="1"/>
  <c r="C935" i="71"/>
  <c r="E935" i="71"/>
  <c r="F935" i="71"/>
  <c r="E955" i="71"/>
  <c r="F955" i="71" s="1"/>
  <c r="E956" i="71"/>
  <c r="F956" i="71"/>
  <c r="E957" i="71"/>
  <c r="F957" i="71" s="1"/>
  <c r="E959" i="71"/>
  <c r="F959" i="71"/>
  <c r="E960" i="71"/>
  <c r="F960" i="71" s="1"/>
  <c r="E964" i="71"/>
  <c r="F964" i="71"/>
  <c r="E966" i="71"/>
  <c r="E866" i="71" s="1"/>
  <c r="F866" i="71" s="1"/>
  <c r="E967" i="71"/>
  <c r="F967" i="71"/>
  <c r="C968" i="71"/>
  <c r="E968" i="71"/>
  <c r="E987" i="71"/>
  <c r="F987" i="71" s="1"/>
  <c r="E988" i="71"/>
  <c r="F988" i="71" s="1"/>
  <c r="E989" i="71"/>
  <c r="F989" i="71" s="1"/>
  <c r="E991" i="71"/>
  <c r="F991" i="71" s="1"/>
  <c r="E992" i="71"/>
  <c r="F992" i="71" s="1"/>
  <c r="E996" i="71"/>
  <c r="F996" i="71"/>
  <c r="E999" i="71"/>
  <c r="F999" i="71" s="1"/>
  <c r="E1000" i="71"/>
  <c r="F1000" i="71" s="1"/>
  <c r="F1022" i="71"/>
  <c r="E1023" i="71"/>
  <c r="F1023" i="71"/>
  <c r="E1024" i="71"/>
  <c r="F1024" i="71" s="1"/>
  <c r="E1028" i="71"/>
  <c r="F1028" i="71" s="1"/>
  <c r="E1029" i="71"/>
  <c r="F1029" i="71" s="1"/>
  <c r="E1030" i="71"/>
  <c r="F1030" i="71" s="1"/>
  <c r="E1036" i="71"/>
  <c r="F1036" i="71"/>
  <c r="E1037" i="71"/>
  <c r="F1037" i="71" s="1"/>
  <c r="E1038" i="71"/>
  <c r="F1038" i="71" s="1"/>
  <c r="F1079" i="71"/>
  <c r="E1080" i="71"/>
  <c r="F1080" i="71"/>
  <c r="E1081" i="71"/>
  <c r="F1081" i="71"/>
  <c r="E1082" i="71"/>
  <c r="F1082" i="71"/>
  <c r="E1085" i="71"/>
  <c r="F1085" i="71"/>
  <c r="E1086" i="71"/>
  <c r="F1086" i="71"/>
  <c r="E1087" i="71"/>
  <c r="F1087" i="71" s="1"/>
  <c r="E1094" i="71"/>
  <c r="F1094" i="71"/>
  <c r="C1095" i="71"/>
  <c r="F1095" i="71" s="1"/>
  <c r="E1095" i="71"/>
  <c r="E1096" i="71"/>
  <c r="F1096" i="71"/>
  <c r="C1134" i="71"/>
  <c r="C1135" i="71"/>
  <c r="C1137" i="71"/>
  <c r="F1137" i="71"/>
  <c r="F1138" i="71"/>
  <c r="F1140" i="71"/>
  <c r="F1141" i="71"/>
  <c r="F1142" i="71"/>
  <c r="F1143" i="71"/>
  <c r="F1144" i="71"/>
  <c r="F1145" i="71"/>
  <c r="E1147" i="71"/>
  <c r="F1147" i="71" s="1"/>
  <c r="E1151" i="71" s="1"/>
  <c r="F1151" i="71" s="1"/>
  <c r="E1148" i="71"/>
  <c r="F1148" i="71" s="1"/>
  <c r="E1149" i="71"/>
  <c r="F1149" i="71" s="1"/>
  <c r="E1150" i="71"/>
  <c r="F1150" i="71" s="1"/>
  <c r="F1168" i="71"/>
  <c r="F1174" i="71" s="1"/>
  <c r="F1169" i="71"/>
  <c r="F1170" i="71"/>
  <c r="F1171" i="71"/>
  <c r="F1172" i="71"/>
  <c r="F1173" i="71"/>
  <c r="E1176" i="71"/>
  <c r="F1176" i="71"/>
  <c r="E1177" i="71"/>
  <c r="F1177" i="71"/>
  <c r="E1178" i="71"/>
  <c r="F1178" i="71"/>
  <c r="E1179" i="71"/>
  <c r="F1179" i="71"/>
  <c r="E1193" i="71"/>
  <c r="F1193" i="71"/>
  <c r="E1194" i="71"/>
  <c r="F1194" i="71"/>
  <c r="F1197" i="71"/>
  <c r="E1201" i="71"/>
  <c r="F1201" i="71" s="1"/>
  <c r="E1202" i="71"/>
  <c r="F1202" i="71" s="1"/>
  <c r="E1203" i="71"/>
  <c r="F1203" i="71" s="1"/>
  <c r="F1206" i="71"/>
  <c r="F1226" i="71"/>
  <c r="E1227" i="71"/>
  <c r="F1227" i="71" s="1"/>
  <c r="E1228" i="71"/>
  <c r="F1228" i="71" s="1"/>
  <c r="E1229" i="71"/>
  <c r="F1229" i="71" s="1"/>
  <c r="E1251" i="71"/>
  <c r="F1251" i="71" s="1"/>
  <c r="E1252" i="71"/>
  <c r="F1252" i="71"/>
  <c r="F1255" i="71"/>
  <c r="E1257" i="71"/>
  <c r="F1257" i="71" s="1"/>
  <c r="E1258" i="71"/>
  <c r="F1258" i="71" s="1"/>
  <c r="F1262" i="71"/>
  <c r="E1263" i="71"/>
  <c r="F1263" i="71"/>
  <c r="C1264" i="71"/>
  <c r="E1264" i="71"/>
  <c r="F1264" i="71" s="1"/>
  <c r="F1273" i="71"/>
  <c r="E1274" i="71"/>
  <c r="F1274" i="71" s="1"/>
  <c r="E1275" i="71"/>
  <c r="E1279" i="71"/>
  <c r="F1279" i="71" s="1"/>
  <c r="E1280" i="71"/>
  <c r="F1280" i="71" s="1"/>
  <c r="E1281" i="71"/>
  <c r="F1281" i="71" s="1"/>
  <c r="E1287" i="71"/>
  <c r="F1287" i="71"/>
  <c r="E1288" i="71"/>
  <c r="F1288" i="71" s="1"/>
  <c r="E1289" i="71"/>
  <c r="F1289" i="71"/>
  <c r="E1301" i="71"/>
  <c r="F1301" i="71"/>
  <c r="E1302" i="71"/>
  <c r="F1302" i="71"/>
  <c r="E1303" i="71"/>
  <c r="F1303" i="71"/>
  <c r="F1307" i="71"/>
  <c r="E1316" i="71"/>
  <c r="F1316" i="71" s="1"/>
  <c r="E1317" i="71"/>
  <c r="F1317" i="71" s="1"/>
  <c r="F1321" i="71"/>
  <c r="F1349" i="71"/>
  <c r="F1350" i="71"/>
  <c r="F1351" i="71"/>
  <c r="F1353" i="71" s="1"/>
  <c r="F1359" i="71" s="1"/>
  <c r="F1360" i="71" s="1"/>
  <c r="F1352" i="71"/>
  <c r="F1354" i="71"/>
  <c r="F1355" i="71"/>
  <c r="F1356" i="71"/>
  <c r="F1357" i="71"/>
  <c r="E1363" i="71"/>
  <c r="F1363" i="71" s="1"/>
  <c r="F1365" i="71" s="1"/>
  <c r="F1366" i="71" s="1"/>
  <c r="E1364" i="71"/>
  <c r="F1364" i="71"/>
  <c r="E1368" i="71"/>
  <c r="F1368" i="71" s="1"/>
  <c r="E1369" i="71"/>
  <c r="F1369" i="71"/>
  <c r="G1384" i="71"/>
  <c r="E1385" i="71"/>
  <c r="G1385" i="71" s="1"/>
  <c r="E1386" i="71"/>
  <c r="G1386" i="71"/>
  <c r="E1387" i="71"/>
  <c r="G1387" i="71" s="1"/>
  <c r="E1388" i="71"/>
  <c r="G1388" i="71"/>
  <c r="E1390" i="71"/>
  <c r="G1390" i="71" s="1"/>
  <c r="C1406" i="71" s="1"/>
  <c r="E1391" i="71"/>
  <c r="G1391" i="71"/>
  <c r="E1392" i="71"/>
  <c r="G1392" i="71" s="1"/>
  <c r="E1395" i="71"/>
  <c r="G1395" i="71"/>
  <c r="E1396" i="71"/>
  <c r="G1396" i="71" s="1"/>
  <c r="G1397" i="71"/>
  <c r="H1402" i="71"/>
  <c r="H1403" i="71"/>
  <c r="E1417" i="71"/>
  <c r="G1417" i="71"/>
  <c r="E1418" i="71"/>
  <c r="E1420" i="71"/>
  <c r="G1420" i="71" s="1"/>
  <c r="E1422" i="71"/>
  <c r="G1422" i="71" s="1"/>
  <c r="E1423" i="71"/>
  <c r="G1423" i="71" s="1"/>
  <c r="E1424" i="71"/>
  <c r="G1424" i="71" s="1"/>
  <c r="C1427" i="71"/>
  <c r="E1427" i="71"/>
  <c r="G1427" i="71"/>
  <c r="E1428" i="71"/>
  <c r="G1428" i="71" s="1"/>
  <c r="E1429" i="71"/>
  <c r="G1429" i="71"/>
  <c r="H1433" i="71"/>
  <c r="H1434" i="71" s="1"/>
  <c r="E1446" i="71"/>
  <c r="F1446" i="71"/>
  <c r="F1447" i="71"/>
  <c r="E1448" i="71"/>
  <c r="F1448" i="71" s="1"/>
  <c r="E1449" i="71"/>
  <c r="F1449" i="71" s="1"/>
  <c r="E1450" i="71"/>
  <c r="F1450" i="71" s="1"/>
  <c r="E1455" i="71"/>
  <c r="F1455" i="71" s="1"/>
  <c r="F1456" i="71"/>
  <c r="E1467" i="71"/>
  <c r="G1467" i="71"/>
  <c r="E1468" i="71"/>
  <c r="G1468" i="71" s="1"/>
  <c r="E1469" i="71"/>
  <c r="G1469" i="71"/>
  <c r="E1471" i="71"/>
  <c r="G1471" i="71" s="1"/>
  <c r="C1484" i="71" s="1"/>
  <c r="E1472" i="71"/>
  <c r="G1472" i="71" s="1"/>
  <c r="E1475" i="71"/>
  <c r="G1475" i="71" s="1"/>
  <c r="E1476" i="71"/>
  <c r="G1476" i="71" s="1"/>
  <c r="E1477" i="71"/>
  <c r="G1477" i="71" s="1"/>
  <c r="H1480" i="71"/>
  <c r="H1481" i="71"/>
  <c r="F1502" i="71"/>
  <c r="F1508" i="71" s="1"/>
  <c r="F1503" i="71"/>
  <c r="F1504" i="71"/>
  <c r="F1505" i="71"/>
  <c r="F1506" i="71"/>
  <c r="F1507" i="71"/>
  <c r="F1515" i="71"/>
  <c r="F1517" i="71" s="1"/>
  <c r="F1519" i="71" s="1"/>
  <c r="F1516" i="71"/>
  <c r="C11" i="52"/>
  <c r="C17" i="52"/>
  <c r="C28" i="52"/>
  <c r="C37" i="52"/>
  <c r="C43" i="52"/>
  <c r="C44" i="52"/>
  <c r="C48" i="52"/>
  <c r="C51" i="52"/>
  <c r="C52" i="52"/>
  <c r="C56" i="52"/>
  <c r="C57" i="52"/>
  <c r="C58" i="52"/>
  <c r="C61" i="52"/>
  <c r="C62" i="52"/>
  <c r="C63" i="52"/>
  <c r="C66" i="52"/>
  <c r="C67" i="52"/>
  <c r="C68" i="52"/>
  <c r="C71" i="52"/>
  <c r="C72" i="52"/>
  <c r="C73" i="52"/>
  <c r="C75" i="52"/>
  <c r="C81" i="52"/>
  <c r="C84" i="52"/>
  <c r="C85" i="52"/>
  <c r="C88" i="52"/>
  <c r="C92" i="52"/>
  <c r="C95" i="52"/>
  <c r="C97" i="52"/>
  <c r="E100" i="52"/>
  <c r="C101" i="52"/>
  <c r="C103" i="52"/>
  <c r="C105" i="52"/>
  <c r="F105" i="52" s="1"/>
  <c r="C107" i="52"/>
  <c r="C109" i="52"/>
  <c r="F109" i="52"/>
  <c r="C111" i="52"/>
  <c r="F111" i="52"/>
  <c r="C113" i="52"/>
  <c r="E99" i="58"/>
  <c r="F7" i="57"/>
  <c r="G7" i="57"/>
  <c r="F8" i="57"/>
  <c r="G8" i="57"/>
  <c r="F9" i="57"/>
  <c r="G9" i="57"/>
  <c r="F10" i="57"/>
  <c r="G10" i="57"/>
  <c r="D11" i="57"/>
  <c r="F11" i="57"/>
  <c r="G11" i="57"/>
  <c r="F12" i="57"/>
  <c r="G12" i="57" s="1"/>
  <c r="G44" i="57" s="1"/>
  <c r="G13" i="57"/>
  <c r="J13" i="57"/>
  <c r="G14" i="57"/>
  <c r="J14" i="57"/>
  <c r="G15" i="57"/>
  <c r="J15" i="57"/>
  <c r="G16" i="57"/>
  <c r="J16" i="57"/>
  <c r="G17" i="57"/>
  <c r="J17" i="57"/>
  <c r="G18" i="57"/>
  <c r="J18" i="57"/>
  <c r="G19" i="57"/>
  <c r="J19" i="57"/>
  <c r="G20" i="57"/>
  <c r="J20" i="57"/>
  <c r="G21" i="57"/>
  <c r="J21" i="57"/>
  <c r="G22" i="57"/>
  <c r="J22" i="57"/>
  <c r="G23" i="57"/>
  <c r="J23" i="57"/>
  <c r="G24" i="57"/>
  <c r="J24" i="57"/>
  <c r="G25" i="57"/>
  <c r="J25" i="57"/>
  <c r="G26" i="57"/>
  <c r="J26" i="57"/>
  <c r="G27" i="57"/>
  <c r="J27" i="57"/>
  <c r="G28" i="57"/>
  <c r="J28" i="57"/>
  <c r="G29" i="57"/>
  <c r="J29" i="57"/>
  <c r="G30" i="57"/>
  <c r="J30" i="57"/>
  <c r="G31" i="57"/>
  <c r="J31" i="57"/>
  <c r="G32" i="57"/>
  <c r="J32" i="57"/>
  <c r="G33" i="57"/>
  <c r="J33" i="57"/>
  <c r="G34" i="57"/>
  <c r="J34" i="57"/>
  <c r="G35" i="57"/>
  <c r="J35" i="57"/>
  <c r="G36" i="57"/>
  <c r="J36" i="57"/>
  <c r="G37" i="57"/>
  <c r="J37" i="57"/>
  <c r="G38" i="57"/>
  <c r="J38" i="57"/>
  <c r="G39" i="57"/>
  <c r="J39" i="57"/>
  <c r="G40" i="57"/>
  <c r="J40" i="57"/>
  <c r="G41" i="57"/>
  <c r="J41" i="57"/>
  <c r="G42" i="57"/>
  <c r="J42" i="57"/>
  <c r="G43" i="57"/>
  <c r="J43" i="57"/>
  <c r="J46" i="57"/>
  <c r="F50" i="57"/>
  <c r="G50" i="57" s="1"/>
  <c r="F51" i="57"/>
  <c r="G51" i="57"/>
  <c r="F52" i="57"/>
  <c r="G52" i="57" s="1"/>
  <c r="F53" i="57"/>
  <c r="G53" i="57"/>
  <c r="D54" i="57"/>
  <c r="G54" i="57" s="1"/>
  <c r="F54" i="57"/>
  <c r="F55" i="57"/>
  <c r="G55" i="57"/>
  <c r="G56" i="57"/>
  <c r="G57" i="57"/>
  <c r="G58" i="57"/>
  <c r="F59" i="57"/>
  <c r="G59" i="57" s="1"/>
  <c r="F60" i="57"/>
  <c r="G60" i="57"/>
  <c r="F61" i="57"/>
  <c r="G61" i="57" s="1"/>
  <c r="F62" i="57"/>
  <c r="G62" i="57"/>
  <c r="F63" i="57"/>
  <c r="G63" i="57" s="1"/>
  <c r="F64" i="57"/>
  <c r="G64" i="57"/>
  <c r="F65" i="57"/>
  <c r="G65" i="57" s="1"/>
  <c r="F66" i="57"/>
  <c r="G66" i="57"/>
  <c r="F67" i="57"/>
  <c r="G67" i="57" s="1"/>
  <c r="F68" i="57"/>
  <c r="G68" i="57"/>
  <c r="F69" i="57"/>
  <c r="G69" i="57" s="1"/>
  <c r="F70" i="57"/>
  <c r="G70" i="57"/>
  <c r="F71" i="57"/>
  <c r="G71" i="57" s="1"/>
  <c r="F72" i="57"/>
  <c r="G72" i="57"/>
  <c r="F73" i="57"/>
  <c r="G73" i="57" s="1"/>
  <c r="F74" i="57"/>
  <c r="G74" i="57"/>
  <c r="F75" i="57"/>
  <c r="G75" i="57" s="1"/>
  <c r="F76" i="57"/>
  <c r="G76" i="57"/>
  <c r="F77" i="57"/>
  <c r="G77" i="57" s="1"/>
  <c r="F78" i="57"/>
  <c r="G78" i="57"/>
  <c r="F79" i="57"/>
  <c r="G79" i="57" s="1"/>
  <c r="F80" i="57"/>
  <c r="G80" i="57"/>
  <c r="F81" i="57"/>
  <c r="G81" i="57" s="1"/>
  <c r="F82" i="57"/>
  <c r="G82" i="57"/>
  <c r="F83" i="57"/>
  <c r="G83" i="57" s="1"/>
  <c r="F84" i="57"/>
  <c r="G84" i="57"/>
  <c r="F85" i="57"/>
  <c r="G85" i="57" s="1"/>
  <c r="F86" i="57"/>
  <c r="G86" i="57"/>
  <c r="F87" i="57"/>
  <c r="G87" i="57" s="1"/>
  <c r="F88" i="57"/>
  <c r="G88" i="57"/>
  <c r="F89" i="57"/>
  <c r="G89" i="57" s="1"/>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44" i="57"/>
  <c r="G145" i="57"/>
  <c r="G146" i="57"/>
  <c r="G147" i="57"/>
  <c r="D148" i="57"/>
  <c r="G148" i="57"/>
  <c r="G149" i="57"/>
  <c r="G150" i="57"/>
  <c r="G151" i="57"/>
  <c r="G152" i="57"/>
  <c r="E153" i="57"/>
  <c r="G153" i="57"/>
  <c r="E154" i="57"/>
  <c r="G154" i="57"/>
  <c r="E155" i="57"/>
  <c r="G155" i="57"/>
  <c r="E156" i="57"/>
  <c r="G156" i="57"/>
  <c r="E157" i="57"/>
  <c r="G157" i="57"/>
  <c r="E158" i="57"/>
  <c r="G158" i="57"/>
  <c r="E159" i="57"/>
  <c r="G159" i="57"/>
  <c r="E160" i="57"/>
  <c r="G160" i="57"/>
  <c r="E161" i="57"/>
  <c r="G161" i="57"/>
  <c r="E162" i="57"/>
  <c r="G162" i="57"/>
  <c r="E163" i="57"/>
  <c r="G163" i="57"/>
  <c r="E164" i="57"/>
  <c r="G164" i="57"/>
  <c r="E165" i="57"/>
  <c r="G165" i="57"/>
  <c r="E166" i="57"/>
  <c r="G166" i="57"/>
  <c r="E167" i="57"/>
  <c r="G167" i="57"/>
  <c r="E168" i="57"/>
  <c r="G168" i="57"/>
  <c r="E169" i="57"/>
  <c r="G169" i="57"/>
  <c r="E170" i="57"/>
  <c r="G170" i="57"/>
  <c r="E171" i="57"/>
  <c r="G171" i="57"/>
  <c r="E172" i="57"/>
  <c r="G172" i="57"/>
  <c r="E173" i="57"/>
  <c r="G173" i="57"/>
  <c r="E174" i="57"/>
  <c r="G174" i="57"/>
  <c r="E175" i="57"/>
  <c r="G175" i="57"/>
  <c r="E176" i="57"/>
  <c r="G176" i="57"/>
  <c r="E177" i="57"/>
  <c r="G177" i="57"/>
  <c r="E178" i="57"/>
  <c r="G178" i="57"/>
  <c r="E179" i="57"/>
  <c r="G179" i="57"/>
  <c r="E180" i="57"/>
  <c r="G180" i="57"/>
  <c r="E181" i="57"/>
  <c r="G181" i="57"/>
  <c r="E182" i="57"/>
  <c r="G182" i="57"/>
  <c r="E183"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9" i="57"/>
  <c r="G245" i="57" s="1"/>
  <c r="G246" i="57" s="1"/>
  <c r="G247" i="57" s="1"/>
  <c r="G240" i="57"/>
  <c r="G241" i="57"/>
  <c r="G242" i="57"/>
  <c r="D243" i="57"/>
  <c r="G243" i="57" s="1"/>
  <c r="G244" i="57"/>
  <c r="D250" i="57"/>
  <c r="E250" i="57"/>
  <c r="G250" i="57"/>
  <c r="G254" i="57" s="1"/>
  <c r="G255" i="57" s="1"/>
  <c r="G256" i="57" s="1"/>
  <c r="C604" i="57" s="1"/>
  <c r="E604" i="57" s="1"/>
  <c r="D251" i="57"/>
  <c r="G251" i="57"/>
  <c r="D252" i="57"/>
  <c r="E252" i="57"/>
  <c r="G252" i="57" s="1"/>
  <c r="D253" i="57"/>
  <c r="G253" i="57"/>
  <c r="G258" i="57"/>
  <c r="G259" i="57"/>
  <c r="G262" i="57" s="1"/>
  <c r="G263" i="57" s="1"/>
  <c r="G264" i="57" s="1"/>
  <c r="G260" i="57"/>
  <c r="G261" i="57"/>
  <c r="G266" i="57"/>
  <c r="G267" i="57"/>
  <c r="G268" i="57"/>
  <c r="G319" i="57" s="1"/>
  <c r="G320" i="57" s="1"/>
  <c r="G321" i="57" s="1"/>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26" i="57"/>
  <c r="G327" i="57"/>
  <c r="G330" i="57" s="1"/>
  <c r="G328" i="57"/>
  <c r="G329" i="57"/>
  <c r="G331" i="57"/>
  <c r="G332" i="57" s="1"/>
  <c r="G335" i="57"/>
  <c r="G336" i="57"/>
  <c r="G339" i="57" s="1"/>
  <c r="G340" i="57" s="1"/>
  <c r="G341" i="57" s="1"/>
  <c r="G337" i="57"/>
  <c r="G338" i="57"/>
  <c r="G345" i="57"/>
  <c r="G347" i="57" s="1"/>
  <c r="G348" i="57" s="1"/>
  <c r="G349" i="57" s="1"/>
  <c r="G346" i="57"/>
  <c r="F353" i="57"/>
  <c r="G353" i="57"/>
  <c r="D354" i="57"/>
  <c r="E354" i="57"/>
  <c r="G354" i="57" s="1"/>
  <c r="F354" i="57"/>
  <c r="D355" i="57"/>
  <c r="E355" i="57"/>
  <c r="D356" i="57"/>
  <c r="E356" i="57"/>
  <c r="G356" i="57"/>
  <c r="G367" i="57"/>
  <c r="G428" i="57" s="1"/>
  <c r="G429" i="57" s="1"/>
  <c r="G430" i="57" s="1"/>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399" i="57"/>
  <c r="G400" i="57"/>
  <c r="G401" i="57"/>
  <c r="G402" i="57"/>
  <c r="G403" i="57"/>
  <c r="G404" i="57"/>
  <c r="G405" i="57"/>
  <c r="G406" i="57"/>
  <c r="G407" i="57"/>
  <c r="G408" i="57"/>
  <c r="G409" i="57"/>
  <c r="G410" i="57"/>
  <c r="G411" i="57"/>
  <c r="G412" i="57"/>
  <c r="G413" i="57"/>
  <c r="G414" i="57"/>
  <c r="G415" i="57"/>
  <c r="G416" i="57"/>
  <c r="G417" i="57"/>
  <c r="G418" i="57"/>
  <c r="G419" i="57"/>
  <c r="G420" i="57"/>
  <c r="G421" i="57"/>
  <c r="G422" i="57"/>
  <c r="G423" i="57"/>
  <c r="G424" i="57"/>
  <c r="F425" i="57"/>
  <c r="G425" i="57"/>
  <c r="G426" i="57"/>
  <c r="F427" i="57"/>
  <c r="G427" i="57" s="1"/>
  <c r="G432" i="57"/>
  <c r="G433" i="57"/>
  <c r="G434" i="57"/>
  <c r="G435" i="57"/>
  <c r="G436" i="57"/>
  <c r="G437" i="57"/>
  <c r="G438" i="57"/>
  <c r="G439" i="57"/>
  <c r="G440" i="57"/>
  <c r="G441" i="57"/>
  <c r="G442" i="57"/>
  <c r="G443" i="57"/>
  <c r="G444" i="57"/>
  <c r="G445" i="57"/>
  <c r="G446" i="57"/>
  <c r="G447" i="57"/>
  <c r="G448" i="57"/>
  <c r="G449" i="57"/>
  <c r="G450" i="57"/>
  <c r="G451" i="57"/>
  <c r="G452" i="57"/>
  <c r="G453" i="57"/>
  <c r="G454" i="57"/>
  <c r="G455" i="57"/>
  <c r="G456" i="57"/>
  <c r="G457" i="57"/>
  <c r="G458" i="57"/>
  <c r="G459" i="57"/>
  <c r="G460" i="57"/>
  <c r="G461" i="57"/>
  <c r="G462" i="57"/>
  <c r="G463" i="57"/>
  <c r="G464" i="57"/>
  <c r="G465" i="57"/>
  <c r="G466" i="57"/>
  <c r="G467" i="57"/>
  <c r="G468" i="57"/>
  <c r="G469" i="57"/>
  <c r="G470" i="57"/>
  <c r="G471" i="57"/>
  <c r="G472" i="57"/>
  <c r="G473" i="57"/>
  <c r="G474" i="57"/>
  <c r="G475" i="57"/>
  <c r="G476" i="57"/>
  <c r="G477" i="57"/>
  <c r="G478" i="57"/>
  <c r="G479" i="57"/>
  <c r="G480" i="57"/>
  <c r="G481" i="57"/>
  <c r="G482" i="57"/>
  <c r="G483" i="57"/>
  <c r="G484" i="57"/>
  <c r="G485" i="57"/>
  <c r="G486" i="57"/>
  <c r="G487" i="57"/>
  <c r="G488" i="57"/>
  <c r="G489" i="57"/>
  <c r="G490" i="57"/>
  <c r="G491" i="57" s="1"/>
  <c r="G492" i="57" s="1"/>
  <c r="F494" i="57"/>
  <c r="G494" i="57"/>
  <c r="F495" i="57"/>
  <c r="G495" i="57" s="1"/>
  <c r="F496" i="57"/>
  <c r="G496" i="57"/>
  <c r="G502" i="57"/>
  <c r="G511" i="57" s="1"/>
  <c r="G512" i="57" s="1"/>
  <c r="G513" i="57" s="1"/>
  <c r="G503" i="57"/>
  <c r="G504" i="57"/>
  <c r="G505" i="57"/>
  <c r="G506" i="57"/>
  <c r="G507" i="57"/>
  <c r="G508" i="57"/>
  <c r="G509" i="57"/>
  <c r="G510" i="57"/>
  <c r="G515" i="57"/>
  <c r="G522" i="57" s="1"/>
  <c r="G523" i="57" s="1"/>
  <c r="G524" i="57" s="1"/>
  <c r="G516" i="57"/>
  <c r="G517" i="57"/>
  <c r="G518" i="57"/>
  <c r="G519" i="57"/>
  <c r="G520" i="57"/>
  <c r="G521" i="57"/>
  <c r="G526" i="57"/>
  <c r="G527" i="57" s="1"/>
  <c r="G528" i="57" s="1"/>
  <c r="G532" i="57"/>
  <c r="G533" i="57"/>
  <c r="G534" i="57"/>
  <c r="G535" i="57"/>
  <c r="G536" i="57"/>
  <c r="G537" i="57"/>
  <c r="G538" i="57"/>
  <c r="G539" i="57"/>
  <c r="G540" i="57"/>
  <c r="G541" i="57"/>
  <c r="G542" i="57"/>
  <c r="G543" i="57"/>
  <c r="G544" i="57"/>
  <c r="G545" i="57"/>
  <c r="G546" i="57"/>
  <c r="G547" i="57"/>
  <c r="G548" i="57"/>
  <c r="G549" i="57"/>
  <c r="G550" i="57"/>
  <c r="G551" i="57"/>
  <c r="G552" i="57" s="1"/>
  <c r="G553" i="57" s="1"/>
  <c r="G556" i="57"/>
  <c r="G557" i="57"/>
  <c r="G558" i="57"/>
  <c r="G559" i="57"/>
  <c r="G560" i="57"/>
  <c r="G561" i="57"/>
  <c r="G562" i="57"/>
  <c r="G563" i="57"/>
  <c r="G564" i="57"/>
  <c r="G565" i="57"/>
  <c r="G566" i="57"/>
  <c r="G567" i="57"/>
  <c r="G568" i="57"/>
  <c r="G569" i="57"/>
  <c r="G570" i="57" s="1"/>
  <c r="G571" i="57" s="1"/>
  <c r="G574" i="57"/>
  <c r="G575" i="57"/>
  <c r="G576" i="57" s="1"/>
  <c r="G581" i="57"/>
  <c r="G586" i="57" s="1"/>
  <c r="G587" i="57" s="1"/>
  <c r="G588" i="57" s="1"/>
  <c r="G582" i="57"/>
  <c r="G583" i="57"/>
  <c r="G584" i="57"/>
  <c r="G585" i="57"/>
  <c r="G590" i="57"/>
  <c r="G595" i="57" s="1"/>
  <c r="G596" i="57" s="1"/>
  <c r="G597" i="57" s="1"/>
  <c r="G591" i="57"/>
  <c r="G592" i="57"/>
  <c r="G593" i="57"/>
  <c r="G594" i="57"/>
  <c r="F637" i="57"/>
  <c r="G637" i="57" s="1"/>
  <c r="G638" i="57"/>
  <c r="F639" i="57"/>
  <c r="G639" i="57"/>
  <c r="G640" i="57"/>
  <c r="G641" i="57"/>
  <c r="G642" i="57"/>
  <c r="G643" i="57"/>
  <c r="G644" i="57"/>
  <c r="D645" i="57"/>
  <c r="E645" i="57"/>
  <c r="F645" i="57"/>
  <c r="G645" i="57" s="1"/>
  <c r="D646" i="57"/>
  <c r="G646" i="57" s="1"/>
  <c r="G653" i="57"/>
  <c r="G654" i="57"/>
  <c r="G680" i="57" s="1"/>
  <c r="G694" i="57" s="1"/>
  <c r="G695" i="57" s="1"/>
  <c r="G696" i="57" s="1"/>
  <c r="C56" i="58" s="1"/>
  <c r="C63" i="64" s="1"/>
  <c r="G655" i="57"/>
  <c r="G656" i="57"/>
  <c r="G657" i="57"/>
  <c r="G658" i="57"/>
  <c r="G659" i="57"/>
  <c r="G660" i="57"/>
  <c r="G661" i="57"/>
  <c r="G662" i="57"/>
  <c r="G663" i="57"/>
  <c r="G664" i="57"/>
  <c r="G665" i="57"/>
  <c r="G666" i="57"/>
  <c r="G667" i="57"/>
  <c r="G668" i="57"/>
  <c r="G669" i="57"/>
  <c r="G670" i="57"/>
  <c r="G671" i="57"/>
  <c r="G672" i="57"/>
  <c r="G673" i="57"/>
  <c r="G674" i="57"/>
  <c r="G675" i="57"/>
  <c r="G676" i="57"/>
  <c r="G677" i="57"/>
  <c r="G678" i="57"/>
  <c r="F679" i="57"/>
  <c r="G679" i="57" s="1"/>
  <c r="G683" i="57"/>
  <c r="G692" i="57" s="1"/>
  <c r="G684" i="57"/>
  <c r="G685" i="57"/>
  <c r="G686" i="57"/>
  <c r="G687" i="57"/>
  <c r="G689" i="57"/>
  <c r="G690" i="57"/>
  <c r="G691" i="57"/>
  <c r="K691" i="57"/>
  <c r="G699" i="57"/>
  <c r="G700" i="57"/>
  <c r="G701" i="57"/>
  <c r="G702" i="57"/>
  <c r="G703" i="57"/>
  <c r="G704" i="57"/>
  <c r="G705" i="57"/>
  <c r="G706" i="57"/>
  <c r="G707" i="57"/>
  <c r="G708" i="57"/>
  <c r="G709" i="57"/>
  <c r="G710" i="57"/>
  <c r="G711" i="57"/>
  <c r="G712" i="57"/>
  <c r="G713" i="57"/>
  <c r="G714" i="57"/>
  <c r="G715" i="57"/>
  <c r="G716" i="57"/>
  <c r="G717" i="57"/>
  <c r="G718" i="57"/>
  <c r="G719" i="57"/>
  <c r="G720" i="57"/>
  <c r="G721" i="57"/>
  <c r="G722" i="57"/>
  <c r="C723" i="57"/>
  <c r="F723" i="57"/>
  <c r="G723" i="57" s="1"/>
  <c r="G724" i="57" s="1"/>
  <c r="G735" i="57" s="1"/>
  <c r="G736" i="57" s="1"/>
  <c r="G737" i="57" s="1"/>
  <c r="C57" i="58" s="1"/>
  <c r="G727" i="57"/>
  <c r="G733" i="57" s="1"/>
  <c r="G728" i="57"/>
  <c r="G729" i="57"/>
  <c r="G730" i="57"/>
  <c r="G731" i="57"/>
  <c r="G732" i="57"/>
  <c r="D740" i="57"/>
  <c r="G740" i="57"/>
  <c r="G743" i="57" s="1"/>
  <c r="G747" i="57" s="1"/>
  <c r="G748" i="57" s="1"/>
  <c r="G749" i="57" s="1"/>
  <c r="C58" i="58" s="1"/>
  <c r="C65" i="64" s="1"/>
  <c r="G741" i="57"/>
  <c r="G742" i="57"/>
  <c r="G745" i="57"/>
  <c r="G757" i="57"/>
  <c r="G758" i="57"/>
  <c r="G759" i="57"/>
  <c r="G760" i="57"/>
  <c r="G761" i="57"/>
  <c r="G762" i="57"/>
  <c r="G763" i="57"/>
  <c r="G764" i="57"/>
  <c r="G765" i="57"/>
  <c r="G775" i="57" s="1"/>
  <c r="G776" i="57" s="1"/>
  <c r="G777" i="57" s="1"/>
  <c r="D768" i="57"/>
  <c r="G768" i="57" s="1"/>
  <c r="G772" i="57" s="1"/>
  <c r="G773" i="57" s="1"/>
  <c r="D769" i="57"/>
  <c r="G769" i="57"/>
  <c r="G770" i="57"/>
  <c r="G771" i="57"/>
  <c r="G780" i="57"/>
  <c r="G786" i="57" s="1"/>
  <c r="G781" i="57"/>
  <c r="G782" i="57"/>
  <c r="G783" i="57"/>
  <c r="G784" i="57"/>
  <c r="G785" i="57"/>
  <c r="D789" i="57"/>
  <c r="G789" i="57"/>
  <c r="G792" i="57" s="1"/>
  <c r="G793" i="57" s="1"/>
  <c r="D790" i="57"/>
  <c r="G790" i="57" s="1"/>
  <c r="D791" i="57"/>
  <c r="G791" i="57"/>
  <c r="G801" i="57"/>
  <c r="G802" i="57"/>
  <c r="G803" i="57"/>
  <c r="G804" i="57"/>
  <c r="D805" i="57"/>
  <c r="G805" i="57" s="1"/>
  <c r="G806" i="57"/>
  <c r="G807" i="57"/>
  <c r="G808" i="57"/>
  <c r="G815" i="57"/>
  <c r="G816" i="57"/>
  <c r="G817" i="57"/>
  <c r="G818" i="57"/>
  <c r="D819" i="57"/>
  <c r="G819" i="57" s="1"/>
  <c r="G820" i="57"/>
  <c r="D827" i="57"/>
  <c r="E827" i="57"/>
  <c r="G827" i="57" s="1"/>
  <c r="D828" i="57"/>
  <c r="E828" i="57"/>
  <c r="G828" i="57" s="1"/>
  <c r="G829" i="57"/>
  <c r="G830" i="57"/>
  <c r="G831" i="57"/>
  <c r="G832" i="57"/>
  <c r="G833" i="57"/>
  <c r="G834" i="57"/>
  <c r="G835" i="57"/>
  <c r="D836" i="57"/>
  <c r="E836" i="57"/>
  <c r="G836" i="57" s="1"/>
  <c r="D837" i="57"/>
  <c r="E837" i="57"/>
  <c r="G837" i="57" s="1"/>
  <c r="D838" i="57"/>
  <c r="E838" i="57"/>
  <c r="G838" i="57" s="1"/>
  <c r="D839" i="57"/>
  <c r="E839" i="57"/>
  <c r="G839" i="57"/>
  <c r="D840" i="57"/>
  <c r="E840" i="57"/>
  <c r="G840" i="57" s="1"/>
  <c r="D841" i="57"/>
  <c r="E841" i="57"/>
  <c r="G841" i="57" s="1"/>
  <c r="D842" i="57"/>
  <c r="E842" i="57"/>
  <c r="G842" i="57" s="1"/>
  <c r="D843" i="57"/>
  <c r="E843" i="57"/>
  <c r="G843" i="57"/>
  <c r="D844" i="57"/>
  <c r="E844" i="57"/>
  <c r="G844" i="57" s="1"/>
  <c r="D845" i="57"/>
  <c r="E845" i="57"/>
  <c r="G845" i="57" s="1"/>
  <c r="G846" i="57"/>
  <c r="G847" i="57"/>
  <c r="D853" i="57"/>
  <c r="E853" i="57"/>
  <c r="G853" i="57" s="1"/>
  <c r="D854" i="57"/>
  <c r="E854" i="57"/>
  <c r="G854" i="57" s="1"/>
  <c r="D855" i="57"/>
  <c r="E855" i="57"/>
  <c r="G855" i="57"/>
  <c r="D856" i="57"/>
  <c r="E856" i="57"/>
  <c r="G856" i="57" s="1"/>
  <c r="D857" i="57"/>
  <c r="E857" i="57"/>
  <c r="G857" i="57" s="1"/>
  <c r="D858" i="57"/>
  <c r="E858" i="57"/>
  <c r="G858" i="57" s="1"/>
  <c r="D859" i="57"/>
  <c r="E859" i="57"/>
  <c r="G859" i="57"/>
  <c r="D860" i="57"/>
  <c r="E860" i="57"/>
  <c r="G860" i="57" s="1"/>
  <c r="D861" i="57"/>
  <c r="E861" i="57"/>
  <c r="G861" i="57" s="1"/>
  <c r="D862" i="57"/>
  <c r="E862" i="57"/>
  <c r="G862" i="57" s="1"/>
  <c r="G868" i="57"/>
  <c r="G869" i="57" s="1"/>
  <c r="G870" i="57" s="1"/>
  <c r="C88" i="58" s="1"/>
  <c r="C96" i="64" s="1"/>
  <c r="D874" i="57"/>
  <c r="F874" i="57"/>
  <c r="G874" i="57" s="1"/>
  <c r="G875" i="57"/>
  <c r="G876" i="57"/>
  <c r="G877" i="57"/>
  <c r="G878" i="57"/>
  <c r="G879" i="57"/>
  <c r="G880" i="57"/>
  <c r="G881" i="57"/>
  <c r="G882" i="57"/>
  <c r="G883" i="57"/>
  <c r="G884" i="57"/>
  <c r="G885" i="57"/>
  <c r="G886" i="57"/>
  <c r="G887" i="57"/>
  <c r="G888" i="57"/>
  <c r="G889" i="57"/>
  <c r="G890" i="57"/>
  <c r="G891" i="57"/>
  <c r="G892" i="57"/>
  <c r="G893" i="57"/>
  <c r="G894" i="57"/>
  <c r="G895" i="57"/>
  <c r="G896" i="57"/>
  <c r="C897" i="57"/>
  <c r="G897" i="57" s="1"/>
  <c r="L898" i="57"/>
  <c r="G901" i="57"/>
  <c r="G902" i="57"/>
  <c r="G903" i="57"/>
  <c r="G904" i="57"/>
  <c r="G909" i="57" s="1"/>
  <c r="G910" i="57" s="1"/>
  <c r="G905" i="57"/>
  <c r="G906" i="57"/>
  <c r="G907" i="57"/>
  <c r="G908" i="57"/>
  <c r="D917" i="57"/>
  <c r="G917" i="57" s="1"/>
  <c r="G918" i="57"/>
  <c r="G919" i="57"/>
  <c r="G920" i="57"/>
  <c r="G921" i="57"/>
  <c r="G922" i="57"/>
  <c r="G923" i="57"/>
  <c r="G924" i="57"/>
  <c r="G925" i="57"/>
  <c r="G926" i="57"/>
  <c r="G927" i="57"/>
  <c r="G928" i="57"/>
  <c r="G929" i="57"/>
  <c r="G930" i="57"/>
  <c r="G931" i="57"/>
  <c r="C932" i="57"/>
  <c r="G932" i="57" s="1"/>
  <c r="J934" i="57"/>
  <c r="G936" i="57"/>
  <c r="G937" i="57"/>
  <c r="G938" i="57"/>
  <c r="G939" i="57"/>
  <c r="G940" i="57"/>
  <c r="G941" i="57"/>
  <c r="G942" i="57"/>
  <c r="G943" i="57" s="1"/>
  <c r="D950" i="57"/>
  <c r="G950" i="57"/>
  <c r="G954" i="57"/>
  <c r="G955" i="57" s="1"/>
  <c r="D963" i="57"/>
  <c r="G963" i="57"/>
  <c r="G964" i="57"/>
  <c r="G965" i="57"/>
  <c r="G966" i="57"/>
  <c r="G967" i="57"/>
  <c r="G968" i="57"/>
  <c r="G969" i="57"/>
  <c r="G970" i="57"/>
  <c r="G971" i="57"/>
  <c r="G972" i="57"/>
  <c r="G973" i="57"/>
  <c r="G974" i="57"/>
  <c r="G975" i="57"/>
  <c r="G976" i="57"/>
  <c r="G977" i="57"/>
  <c r="G978" i="57"/>
  <c r="G979" i="57"/>
  <c r="G980" i="57"/>
  <c r="G981" i="57"/>
  <c r="G982" i="57"/>
  <c r="G983" i="57"/>
  <c r="G984" i="57"/>
  <c r="G985" i="57"/>
  <c r="G986" i="57"/>
  <c r="G987" i="57"/>
  <c r="C988" i="57"/>
  <c r="G988" i="57" s="1"/>
  <c r="G992" i="57"/>
  <c r="G993" i="57"/>
  <c r="G994" i="57"/>
  <c r="G995" i="57"/>
  <c r="G996" i="57"/>
  <c r="G997" i="57"/>
  <c r="G998" i="57"/>
  <c r="G999" i="57"/>
  <c r="G1000" i="57"/>
  <c r="G1001" i="57" s="1"/>
  <c r="G1008" i="57"/>
  <c r="G1009" i="57"/>
  <c r="G1010" i="57"/>
  <c r="G1011" i="57"/>
  <c r="G1012" i="57"/>
  <c r="G1013" i="57"/>
  <c r="G1014" i="57"/>
  <c r="G1015" i="57"/>
  <c r="G1016" i="57"/>
  <c r="G1017" i="57"/>
  <c r="G1018" i="57"/>
  <c r="G1019" i="57"/>
  <c r="G1020" i="57"/>
  <c r="G1021" i="57"/>
  <c r="G1022" i="57"/>
  <c r="G1023" i="57"/>
  <c r="G1024" i="57"/>
  <c r="G1025" i="57"/>
  <c r="G1026" i="57"/>
  <c r="C1027" i="57"/>
  <c r="G1027" i="57" s="1"/>
  <c r="G1031" i="57"/>
  <c r="G1032" i="57"/>
  <c r="G1037" i="57" s="1"/>
  <c r="G1038" i="57" s="1"/>
  <c r="G1033" i="57"/>
  <c r="G1034" i="57"/>
  <c r="G1035" i="57"/>
  <c r="G1036" i="57"/>
  <c r="D1044" i="57"/>
  <c r="D949" i="57" s="1"/>
  <c r="G949" i="57" s="1"/>
  <c r="G951" i="57" s="1"/>
  <c r="G957" i="57" s="1"/>
  <c r="G958" i="57" s="1"/>
  <c r="G959" i="57" s="1"/>
  <c r="C63" i="58" s="1"/>
  <c r="D1045" i="57"/>
  <c r="G1045" i="57" s="1"/>
  <c r="G1046" i="57"/>
  <c r="F1049" i="57"/>
  <c r="G1049" i="57" s="1"/>
  <c r="G1050" i="57" s="1"/>
  <c r="G1059" i="57"/>
  <c r="G1060" i="57"/>
  <c r="G1061" i="57"/>
  <c r="G1062" i="57"/>
  <c r="D1063" i="57"/>
  <c r="G1063" i="57" s="1"/>
  <c r="G1064" i="57"/>
  <c r="G1065" i="57"/>
  <c r="G1066" i="57"/>
  <c r="D1067" i="57"/>
  <c r="E1067" i="57"/>
  <c r="G1067" i="57" s="1"/>
  <c r="D1068" i="57"/>
  <c r="E1068" i="57"/>
  <c r="G1068" i="57"/>
  <c r="G1069" i="57"/>
  <c r="G1070" i="57"/>
  <c r="G1071" i="57"/>
  <c r="G1072" i="57"/>
  <c r="G1073" i="57"/>
  <c r="G1074" i="57"/>
  <c r="G1075" i="57"/>
  <c r="D1076" i="57"/>
  <c r="G1076" i="57" s="1"/>
  <c r="E1076" i="57"/>
  <c r="D1077" i="57"/>
  <c r="E1077" i="57"/>
  <c r="G1077" i="57" s="1"/>
  <c r="D1078" i="57"/>
  <c r="E1078" i="57"/>
  <c r="G1078" i="57"/>
  <c r="D1079" i="57"/>
  <c r="E1079" i="57"/>
  <c r="G1079" i="57" s="1"/>
  <c r="D1080" i="57"/>
  <c r="G1080" i="57" s="1"/>
  <c r="E1080" i="57"/>
  <c r="D1081" i="57"/>
  <c r="E1081" i="57"/>
  <c r="G1081" i="57" s="1"/>
  <c r="P1081" i="57"/>
  <c r="D1082" i="57"/>
  <c r="E1082" i="57"/>
  <c r="G1082" i="57" s="1"/>
  <c r="P1082" i="57"/>
  <c r="G1083" i="57"/>
  <c r="P1083" i="57"/>
  <c r="G1084" i="57"/>
  <c r="P1084" i="57"/>
  <c r="G1085" i="57"/>
  <c r="P1085" i="57"/>
  <c r="D1086" i="57"/>
  <c r="E1086" i="57"/>
  <c r="G1086" i="57" s="1"/>
  <c r="P1086" i="57"/>
  <c r="D1087" i="57"/>
  <c r="E1087" i="57"/>
  <c r="G1087" i="57" s="1"/>
  <c r="D1088" i="57"/>
  <c r="G1088" i="57" s="1"/>
  <c r="E1088" i="57"/>
  <c r="C1090" i="57"/>
  <c r="G1090" i="57"/>
  <c r="C1091" i="57"/>
  <c r="G1091" i="57"/>
  <c r="C1092" i="57"/>
  <c r="G1092" i="57"/>
  <c r="C1093" i="57"/>
  <c r="G1093" i="57"/>
  <c r="C1094" i="57"/>
  <c r="G1094" i="57"/>
  <c r="G1100" i="57"/>
  <c r="G1101" i="57"/>
  <c r="G1102" i="57"/>
  <c r="G1103" i="57"/>
  <c r="D1104" i="57"/>
  <c r="G1104" i="57" s="1"/>
  <c r="G1105" i="57"/>
  <c r="D1106" i="57"/>
  <c r="E1106" i="57"/>
  <c r="G1106" i="57" s="1"/>
  <c r="D1107" i="57"/>
  <c r="E1107" i="57"/>
  <c r="G1107" i="57"/>
  <c r="D1108" i="57"/>
  <c r="E1108" i="57"/>
  <c r="G1108" i="57" s="1"/>
  <c r="D1109" i="57"/>
  <c r="G1109" i="57" s="1"/>
  <c r="E1109" i="57"/>
  <c r="D1110" i="57"/>
  <c r="E1110" i="57"/>
  <c r="G1110" i="57" s="1"/>
  <c r="D1111" i="57"/>
  <c r="E1111" i="57"/>
  <c r="G1111" i="57"/>
  <c r="D1112" i="57"/>
  <c r="E1112" i="57"/>
  <c r="G1112" i="57" s="1"/>
  <c r="D1113" i="57"/>
  <c r="G1113" i="57" s="1"/>
  <c r="E1113" i="57"/>
  <c r="D1114" i="57"/>
  <c r="E1114" i="57"/>
  <c r="G1114" i="57" s="1"/>
  <c r="D1115" i="57"/>
  <c r="E1115" i="57"/>
  <c r="G1115" i="57"/>
  <c r="D1116" i="57"/>
  <c r="E1116" i="57"/>
  <c r="G1116" i="57" s="1"/>
  <c r="C1118" i="57"/>
  <c r="G1118" i="57" s="1"/>
  <c r="C1119" i="57"/>
  <c r="G1119" i="57" s="1"/>
  <c r="C1120" i="57"/>
  <c r="G1120" i="57" s="1"/>
  <c r="G1121" i="57"/>
  <c r="C1122" i="57"/>
  <c r="G1122" i="57"/>
  <c r="G1129" i="57"/>
  <c r="G1130" i="57" s="1"/>
  <c r="G1131" i="57" s="1"/>
  <c r="C73" i="58" s="1"/>
  <c r="D1134" i="57"/>
  <c r="G1134" i="57"/>
  <c r="G1139" i="57" s="1"/>
  <c r="G1140" i="57" s="1"/>
  <c r="G1141" i="57" s="1"/>
  <c r="C75" i="58" s="1"/>
  <c r="C82" i="64" s="1"/>
  <c r="G1135" i="57"/>
  <c r="G1136" i="57"/>
  <c r="G1137" i="57"/>
  <c r="G1138" i="57"/>
  <c r="D1145" i="57"/>
  <c r="G1145" i="57" s="1"/>
  <c r="G1147" i="57" s="1"/>
  <c r="D1146" i="57"/>
  <c r="G1146" i="57" s="1"/>
  <c r="F1159" i="57"/>
  <c r="G1159" i="57" s="1"/>
  <c r="F1160" i="57"/>
  <c r="G1160" i="57" s="1"/>
  <c r="F1164" i="57"/>
  <c r="G1164" i="57"/>
  <c r="G1166" i="57" s="1"/>
  <c r="F1165" i="57"/>
  <c r="G1165" i="57"/>
  <c r="D1190" i="57"/>
  <c r="F1190" i="57"/>
  <c r="G1190" i="57"/>
  <c r="G1193" i="57"/>
  <c r="G1194" i="57"/>
  <c r="G1197" i="57" s="1"/>
  <c r="G1198" i="57" s="1"/>
  <c r="G1195" i="57"/>
  <c r="G1196" i="57"/>
  <c r="D1204" i="57"/>
  <c r="G1204" i="57" s="1"/>
  <c r="G1207" i="57"/>
  <c r="G1208" i="57"/>
  <c r="G1211" i="57" s="1"/>
  <c r="G1212" i="57" s="1"/>
  <c r="G1214" i="57" s="1"/>
  <c r="G1215" i="57" s="1"/>
  <c r="G1216" i="57" s="1"/>
  <c r="G1209" i="57"/>
  <c r="G1210" i="57"/>
  <c r="D1218" i="57"/>
  <c r="G1218" i="57"/>
  <c r="G1219" i="57"/>
  <c r="D1220" i="57"/>
  <c r="G1220" i="57" s="1"/>
  <c r="G1222" i="57" s="1"/>
  <c r="G1223" i="57" s="1"/>
  <c r="G1224" i="57" s="1"/>
  <c r="D1221" i="57"/>
  <c r="G1221" i="57" s="1"/>
  <c r="F1228" i="57"/>
  <c r="G1228" i="57"/>
  <c r="F1229" i="57"/>
  <c r="G1229" i="57" s="1"/>
  <c r="F1234" i="57"/>
  <c r="G1234" i="57" s="1"/>
  <c r="F1235" i="57"/>
  <c r="G1235" i="57"/>
  <c r="G1236" i="57"/>
  <c r="G1237" i="57" s="1"/>
  <c r="G1238" i="57" s="1"/>
  <c r="G1243" i="57"/>
  <c r="G1244" i="57"/>
  <c r="G1255" i="57"/>
  <c r="G1256" i="57"/>
  <c r="G1258" i="57" s="1"/>
  <c r="G1264" i="57" s="1"/>
  <c r="G1265" i="57" s="1"/>
  <c r="G1266" i="57" s="1"/>
  <c r="C106" i="58" s="1"/>
  <c r="G1257" i="57"/>
  <c r="G1260" i="57"/>
  <c r="G1261" i="57"/>
  <c r="G1262" i="57" s="1"/>
  <c r="C1269" i="57"/>
  <c r="G1269" i="57" s="1"/>
  <c r="G1272" i="57" s="1"/>
  <c r="G1273" i="57" s="1"/>
  <c r="G1274" i="57" s="1"/>
  <c r="C104" i="58" s="1"/>
  <c r="F104" i="58" s="1"/>
  <c r="D1269" i="57"/>
  <c r="F1269" i="57"/>
  <c r="C1270" i="57"/>
  <c r="G1270" i="57" s="1"/>
  <c r="D1270" i="57"/>
  <c r="F1270" i="57"/>
  <c r="C1271" i="57"/>
  <c r="G1271" i="57" s="1"/>
  <c r="D1271" i="57"/>
  <c r="F1271" i="57"/>
  <c r="G1278" i="57"/>
  <c r="G1281" i="57"/>
  <c r="G1283" i="57"/>
  <c r="G1284" i="57" s="1"/>
  <c r="G1285" i="57" s="1"/>
  <c r="C108" i="58" s="1"/>
  <c r="F108" i="58" s="1"/>
  <c r="C1288" i="57"/>
  <c r="D1288" i="57"/>
  <c r="G1288" i="57" s="1"/>
  <c r="G1289" i="57"/>
  <c r="G1290" i="57" s="1"/>
  <c r="C110" i="58" s="1"/>
  <c r="F110" i="58" s="1"/>
  <c r="F1294" i="57"/>
  <c r="G1294" i="57" s="1"/>
  <c r="F1295" i="57"/>
  <c r="G1295" i="57"/>
  <c r="G1296" i="57" s="1"/>
  <c r="F1298" i="57"/>
  <c r="G1298" i="57"/>
  <c r="F1299" i="57"/>
  <c r="G1299" i="57" s="1"/>
  <c r="C7" i="55"/>
  <c r="D7" i="55"/>
  <c r="H10" i="55" s="1"/>
  <c r="C14" i="55"/>
  <c r="D14" i="55" s="1"/>
  <c r="C21" i="55"/>
  <c r="D21" i="55" s="1"/>
  <c r="C27" i="55"/>
  <c r="D27" i="55"/>
  <c r="C33" i="55"/>
  <c r="D33" i="55" s="1"/>
  <c r="H39" i="55"/>
  <c r="H40" i="55"/>
  <c r="H41" i="55"/>
  <c r="H56" i="55"/>
  <c r="F15" i="63"/>
  <c r="F16" i="63"/>
  <c r="F44" i="63"/>
  <c r="N47" i="63"/>
  <c r="F48" i="63"/>
  <c r="F49" i="63"/>
  <c r="F50" i="63"/>
  <c r="F51" i="63" s="1"/>
  <c r="F53" i="63"/>
  <c r="F54" i="63"/>
  <c r="F55" i="63"/>
  <c r="F56" i="63"/>
  <c r="F63" i="63"/>
  <c r="F64" i="63"/>
  <c r="F65" i="63"/>
  <c r="F67" i="63"/>
  <c r="F71" i="63"/>
  <c r="F73" i="63" s="1"/>
  <c r="F7" i="68"/>
  <c r="G7" i="68"/>
  <c r="F8" i="68"/>
  <c r="G8" i="68" s="1"/>
  <c r="G10" i="68" s="1"/>
  <c r="D9" i="68"/>
  <c r="G9" i="68"/>
  <c r="G15" i="68"/>
  <c r="G16" i="68"/>
  <c r="D17" i="68"/>
  <c r="G17" i="68" s="1"/>
  <c r="G18" i="68"/>
  <c r="G19" i="68"/>
  <c r="G20" i="68"/>
  <c r="G21" i="68"/>
  <c r="G22" i="68"/>
  <c r="G23" i="68"/>
  <c r="G24" i="68"/>
  <c r="G30" i="68"/>
  <c r="G31" i="68"/>
  <c r="D32" i="68"/>
  <c r="G32" i="68"/>
  <c r="G34" i="68"/>
  <c r="G35" i="68"/>
  <c r="G36" i="68"/>
  <c r="G37" i="68"/>
  <c r="G38" i="68"/>
  <c r="G39" i="68"/>
  <c r="G40" i="68"/>
  <c r="G41" i="68"/>
  <c r="G42" i="68" s="1"/>
  <c r="G43" i="68" s="1"/>
  <c r="C9" i="67" s="1"/>
  <c r="G47" i="68"/>
  <c r="G49" i="68" s="1"/>
  <c r="G50" i="68" s="1"/>
  <c r="G51" i="68" s="1"/>
  <c r="G48" i="68"/>
  <c r="D53" i="68"/>
  <c r="G53" i="68" s="1"/>
  <c r="G54" i="68" s="1"/>
  <c r="G55" i="68" s="1"/>
  <c r="G56" i="68" s="1"/>
  <c r="C139" i="68" s="1"/>
  <c r="E139" i="68" s="1"/>
  <c r="G58" i="68"/>
  <c r="G59" i="68" s="1"/>
  <c r="G60" i="68" s="1"/>
  <c r="G61" i="68" s="1"/>
  <c r="G62" i="68"/>
  <c r="G63" i="68"/>
  <c r="G64" i="68"/>
  <c r="G65" i="68"/>
  <c r="G66" i="68"/>
  <c r="G67" i="68"/>
  <c r="G68" i="68"/>
  <c r="G69" i="68"/>
  <c r="G70" i="68"/>
  <c r="G71" i="68"/>
  <c r="G72" i="68"/>
  <c r="G73" i="68"/>
  <c r="G74" i="68" s="1"/>
  <c r="G75" i="68" s="1"/>
  <c r="G79" i="68"/>
  <c r="G80" i="68"/>
  <c r="G81" i="68" s="1"/>
  <c r="G84" i="68"/>
  <c r="G95" i="68" s="1"/>
  <c r="G96" i="68" s="1"/>
  <c r="G97" i="68" s="1"/>
  <c r="G85" i="68"/>
  <c r="G86" i="68"/>
  <c r="G87" i="68"/>
  <c r="G88" i="68"/>
  <c r="G89" i="68"/>
  <c r="G90" i="68"/>
  <c r="G91" i="68"/>
  <c r="G92" i="68"/>
  <c r="G93" i="68"/>
  <c r="G94" i="68"/>
  <c r="G99" i="68"/>
  <c r="G100" i="68"/>
  <c r="G101" i="68"/>
  <c r="G102" i="68"/>
  <c r="G103" i="68"/>
  <c r="G104" i="68"/>
  <c r="G105" i="68"/>
  <c r="G106" i="68"/>
  <c r="G107" i="68" s="1"/>
  <c r="G108" i="68" s="1"/>
  <c r="G111" i="68"/>
  <c r="G112" i="68"/>
  <c r="G113" i="68"/>
  <c r="G114" i="68"/>
  <c r="G115" i="68"/>
  <c r="G116" i="68"/>
  <c r="G117" i="68"/>
  <c r="G118" i="68"/>
  <c r="G119" i="68"/>
  <c r="G120" i="68"/>
  <c r="G121" i="68"/>
  <c r="G122" i="68"/>
  <c r="G123" i="68"/>
  <c r="G124" i="68"/>
  <c r="G125" i="68" s="1"/>
  <c r="G126" i="68" s="1"/>
  <c r="G129" i="68"/>
  <c r="G130" i="68"/>
  <c r="G133" i="68" s="1"/>
  <c r="G134" i="68" s="1"/>
  <c r="G135" i="68" s="1"/>
  <c r="G131" i="68"/>
  <c r="G132" i="68"/>
  <c r="G151" i="68"/>
  <c r="G152" i="68"/>
  <c r="D153" i="68"/>
  <c r="G153" i="68" s="1"/>
  <c r="G155" i="68" s="1"/>
  <c r="G156" i="68" s="1"/>
  <c r="G157" i="68" s="1"/>
  <c r="C11" i="67" s="1"/>
  <c r="D154" i="68"/>
  <c r="G154" i="68"/>
  <c r="G160" i="68"/>
  <c r="G161" i="68"/>
  <c r="G197" i="68" s="1"/>
  <c r="G222" i="68" s="1"/>
  <c r="G223" i="68" s="1"/>
  <c r="G224" i="68" s="1"/>
  <c r="C36" i="67" s="1"/>
  <c r="G162" i="68"/>
  <c r="G163" i="68"/>
  <c r="G164" i="68"/>
  <c r="G165" i="68"/>
  <c r="G166" i="68"/>
  <c r="G167" i="68"/>
  <c r="G168" i="68"/>
  <c r="G169" i="68"/>
  <c r="G170" i="68"/>
  <c r="G171" i="68"/>
  <c r="G172" i="68"/>
  <c r="G173" i="68"/>
  <c r="G174" i="68"/>
  <c r="G175" i="68"/>
  <c r="G176" i="68"/>
  <c r="G177" i="68"/>
  <c r="G178" i="68"/>
  <c r="G179" i="68"/>
  <c r="G180" i="68"/>
  <c r="G181" i="68"/>
  <c r="G183" i="68"/>
  <c r="G184" i="68"/>
  <c r="G185" i="68"/>
  <c r="G186" i="68"/>
  <c r="G187" i="68"/>
  <c r="G188" i="68"/>
  <c r="G189" i="68"/>
  <c r="G190" i="68"/>
  <c r="G191" i="68"/>
  <c r="G192" i="68"/>
  <c r="G193" i="68"/>
  <c r="G194" i="68"/>
  <c r="G195" i="68"/>
  <c r="G196" i="68"/>
  <c r="G199" i="68"/>
  <c r="G221" i="68" s="1"/>
  <c r="G200" i="68"/>
  <c r="G201" i="68"/>
  <c r="G202" i="68"/>
  <c r="G203" i="68"/>
  <c r="G204" i="68"/>
  <c r="G205" i="68"/>
  <c r="G206" i="68"/>
  <c r="G208" i="68"/>
  <c r="G209" i="68"/>
  <c r="G210" i="68"/>
  <c r="G211" i="68"/>
  <c r="G212" i="68"/>
  <c r="G213" i="68"/>
  <c r="G214" i="68"/>
  <c r="G215" i="68"/>
  <c r="G216" i="68"/>
  <c r="G217" i="68"/>
  <c r="G218" i="68"/>
  <c r="G219" i="68"/>
  <c r="G220" i="68"/>
  <c r="D228" i="68"/>
  <c r="G228" i="68" s="1"/>
  <c r="G231" i="68" s="1"/>
  <c r="G238" i="68" s="1"/>
  <c r="G239" i="68" s="1"/>
  <c r="G240" i="68" s="1"/>
  <c r="C53" i="67" s="1"/>
  <c r="D229" i="68"/>
  <c r="G229" i="68"/>
  <c r="D230" i="68"/>
  <c r="G230" i="68" s="1"/>
  <c r="G233" i="68"/>
  <c r="G234" i="68"/>
  <c r="G235" i="68"/>
  <c r="G236" i="68"/>
  <c r="G237" i="68"/>
  <c r="G242" i="68"/>
  <c r="G244" i="68" s="1"/>
  <c r="G245" i="68" s="1"/>
  <c r="G246" i="68" s="1"/>
  <c r="C56" i="67" s="1"/>
  <c r="G243" i="68"/>
  <c r="G248" i="68"/>
  <c r="G249" i="68"/>
  <c r="G250" i="68"/>
  <c r="G256" i="68" s="1"/>
  <c r="G257" i="68" s="1"/>
  <c r="G258" i="68" s="1"/>
  <c r="C59" i="67" s="1"/>
  <c r="G251" i="68"/>
  <c r="G252" i="68"/>
  <c r="G253" i="68"/>
  <c r="G254" i="68"/>
  <c r="G255" i="68"/>
  <c r="D262" i="68"/>
  <c r="G262" i="68" s="1"/>
  <c r="G284" i="68" s="1"/>
  <c r="D263" i="68"/>
  <c r="G263" i="68"/>
  <c r="D264" i="68"/>
  <c r="G264" i="68" s="1"/>
  <c r="D265" i="68"/>
  <c r="G265" i="68"/>
  <c r="G266" i="68"/>
  <c r="G267" i="68"/>
  <c r="G268" i="68"/>
  <c r="G270" i="68"/>
  <c r="G271" i="68"/>
  <c r="G272" i="68"/>
  <c r="G273" i="68"/>
  <c r="G274" i="68"/>
  <c r="G275" i="68"/>
  <c r="G276" i="68"/>
  <c r="G277" i="68"/>
  <c r="G278" i="68"/>
  <c r="G279" i="68"/>
  <c r="G280" i="68"/>
  <c r="G281" i="68"/>
  <c r="G282" i="68"/>
  <c r="G283" i="68"/>
  <c r="G286" i="68"/>
  <c r="G287" i="68"/>
  <c r="G294" i="68" s="1"/>
  <c r="G288" i="68"/>
  <c r="G289" i="68"/>
  <c r="G290" i="68"/>
  <c r="G291" i="68"/>
  <c r="G292" i="68"/>
  <c r="G293" i="68"/>
  <c r="G301" i="68"/>
  <c r="G302" i="68"/>
  <c r="G330" i="68" s="1"/>
  <c r="G303" i="68"/>
  <c r="G304" i="68"/>
  <c r="G305" i="68"/>
  <c r="G306" i="68"/>
  <c r="G307" i="68"/>
  <c r="G308" i="68"/>
  <c r="G309" i="68"/>
  <c r="G310" i="68"/>
  <c r="G311" i="68"/>
  <c r="G312" i="68"/>
  <c r="G313" i="68"/>
  <c r="G314" i="68"/>
  <c r="G316" i="68"/>
  <c r="G317" i="68"/>
  <c r="G318" i="68"/>
  <c r="G319" i="68"/>
  <c r="G320" i="68"/>
  <c r="G321" i="68"/>
  <c r="G322" i="68"/>
  <c r="G323" i="68"/>
  <c r="G324" i="68"/>
  <c r="G325" i="68"/>
  <c r="G326" i="68"/>
  <c r="G327" i="68"/>
  <c r="G328" i="68"/>
  <c r="G329" i="68"/>
  <c r="G332" i="68"/>
  <c r="G333" i="68"/>
  <c r="G336" i="68" s="1"/>
  <c r="G334" i="68"/>
  <c r="G335" i="68"/>
  <c r="G343" i="68"/>
  <c r="G344" i="68"/>
  <c r="G345" i="68"/>
  <c r="G346" i="68"/>
  <c r="G347" i="68"/>
  <c r="G348" i="68"/>
  <c r="G349" i="68"/>
  <c r="G350" i="68"/>
  <c r="G351" i="68"/>
  <c r="G353" i="68"/>
  <c r="G354" i="68"/>
  <c r="G355" i="68"/>
  <c r="G356" i="68"/>
  <c r="G357" i="68"/>
  <c r="G358" i="68" s="1"/>
  <c r="G359" i="68" s="1"/>
  <c r="G361" i="68"/>
  <c r="G368" i="68" s="1"/>
  <c r="G369" i="68" s="1"/>
  <c r="G370" i="68" s="1"/>
  <c r="C46" i="67" s="1"/>
  <c r="G362" i="68"/>
  <c r="G363" i="68"/>
  <c r="G364" i="68"/>
  <c r="G365" i="68"/>
  <c r="G366" i="68"/>
  <c r="G367" i="68"/>
  <c r="G384" i="68"/>
  <c r="G385" i="68" s="1"/>
  <c r="G387" i="68" s="1"/>
  <c r="G388" i="68" s="1"/>
  <c r="G389" i="68" s="1"/>
  <c r="C63" i="67" s="1"/>
  <c r="G392" i="68"/>
  <c r="G393" i="68"/>
  <c r="G394" i="68"/>
  <c r="G395" i="68"/>
  <c r="G396" i="68" s="1"/>
  <c r="G397" i="68" s="1"/>
  <c r="C70" i="67" s="1"/>
  <c r="D399" i="68"/>
  <c r="F399" i="68"/>
  <c r="G399" i="68" s="1"/>
  <c r="G401" i="68" s="1"/>
  <c r="G402" i="68" s="1"/>
  <c r="G403" i="68" s="1"/>
  <c r="C68" i="67" s="1"/>
  <c r="F68" i="67" s="1"/>
  <c r="D400" i="68"/>
  <c r="F400" i="68"/>
  <c r="G400" i="68"/>
  <c r="G406" i="68"/>
  <c r="G407" i="68" s="1"/>
  <c r="G408" i="68" s="1"/>
  <c r="G409" i="68" s="1"/>
  <c r="C72" i="67" s="1"/>
  <c r="F72" i="67" s="1"/>
  <c r="C411" i="68"/>
  <c r="D411" i="68"/>
  <c r="G411" i="68" s="1"/>
  <c r="G412" i="68" s="1"/>
  <c r="G413" i="68" s="1"/>
  <c r="C74" i="67" s="1"/>
  <c r="F74" i="67" s="1"/>
  <c r="G416" i="68"/>
  <c r="G417" i="68"/>
  <c r="G418" i="68"/>
  <c r="G419" i="68"/>
  <c r="G420" i="68" s="1"/>
  <c r="G421" i="68" s="1"/>
  <c r="C76" i="67" s="1"/>
  <c r="F76" i="67" s="1"/>
  <c r="G423" i="68"/>
  <c r="G424" i="68"/>
  <c r="G425" i="68" s="1"/>
  <c r="G426" i="68" s="1"/>
  <c r="G427" i="68" s="1"/>
  <c r="G428" i="68" s="1"/>
  <c r="G429" i="68" s="1"/>
  <c r="C61" i="67" s="1"/>
  <c r="G431" i="68"/>
  <c r="G432" i="68"/>
  <c r="G433" i="68"/>
  <c r="G434" i="68" s="1"/>
  <c r="C66" i="67" s="1"/>
  <c r="E93" i="69"/>
  <c r="F7" i="70"/>
  <c r="G7" i="70" s="1"/>
  <c r="G10" i="70" s="1"/>
  <c r="G11" i="70" s="1"/>
  <c r="G12" i="70" s="1"/>
  <c r="C3" i="69" s="1"/>
  <c r="C7" i="69" s="1"/>
  <c r="F8" i="70"/>
  <c r="G8" i="70"/>
  <c r="G9" i="70"/>
  <c r="F15" i="70"/>
  <c r="G15" i="70" s="1"/>
  <c r="F16" i="70"/>
  <c r="G16" i="70"/>
  <c r="F17" i="70"/>
  <c r="G17" i="70" s="1"/>
  <c r="G19" i="70"/>
  <c r="G20" i="70"/>
  <c r="G21" i="70"/>
  <c r="G22" i="70"/>
  <c r="G23" i="70"/>
  <c r="G24" i="70"/>
  <c r="G25" i="70"/>
  <c r="F30" i="70"/>
  <c r="G30" i="70" s="1"/>
  <c r="F31" i="70"/>
  <c r="G31" i="70"/>
  <c r="F32" i="70"/>
  <c r="G32" i="70" s="1"/>
  <c r="G33" i="70"/>
  <c r="G34" i="70"/>
  <c r="G35" i="70"/>
  <c r="G36" i="70"/>
  <c r="G37" i="70"/>
  <c r="G38" i="70"/>
  <c r="G39" i="70"/>
  <c r="G46" i="70"/>
  <c r="G48" i="70" s="1"/>
  <c r="G49" i="70" s="1"/>
  <c r="G50" i="70" s="1"/>
  <c r="G47" i="70"/>
  <c r="D52" i="70"/>
  <c r="G52" i="70" s="1"/>
  <c r="G53" i="70" s="1"/>
  <c r="G54" i="70" s="1"/>
  <c r="G55" i="70" s="1"/>
  <c r="C199" i="70" s="1"/>
  <c r="E199" i="70" s="1"/>
  <c r="G58" i="70"/>
  <c r="G59" i="70"/>
  <c r="G60" i="70" s="1"/>
  <c r="G61" i="70" s="1"/>
  <c r="G63" i="70"/>
  <c r="G64" i="70"/>
  <c r="G66" i="70" s="1"/>
  <c r="G67" i="70" s="1"/>
  <c r="G68" i="70" s="1"/>
  <c r="G65" i="70"/>
  <c r="G72" i="70"/>
  <c r="G73" i="70" s="1"/>
  <c r="G74" i="70" s="1"/>
  <c r="G75" i="70" s="1"/>
  <c r="G77" i="70"/>
  <c r="G78" i="70" s="1"/>
  <c r="G79" i="70" s="1"/>
  <c r="G80" i="70" s="1"/>
  <c r="G82" i="70"/>
  <c r="G83" i="70" s="1"/>
  <c r="G84" i="70" s="1"/>
  <c r="G85" i="70" s="1"/>
  <c r="D88" i="70"/>
  <c r="G88" i="70"/>
  <c r="D89" i="70"/>
  <c r="E89" i="70"/>
  <c r="F89" i="70"/>
  <c r="G89" i="70" s="1"/>
  <c r="G91" i="70" s="1"/>
  <c r="G90" i="70"/>
  <c r="G98" i="70"/>
  <c r="G99" i="70"/>
  <c r="G100" i="70"/>
  <c r="G101" i="70"/>
  <c r="G104" i="70" s="1"/>
  <c r="G105" i="70" s="1"/>
  <c r="G106" i="70" s="1"/>
  <c r="G102" i="70"/>
  <c r="G103" i="70"/>
  <c r="G107" i="70"/>
  <c r="G108" i="70"/>
  <c r="G109" i="70"/>
  <c r="G110" i="70"/>
  <c r="G111" i="70"/>
  <c r="G112" i="70"/>
  <c r="G113" i="70" s="1"/>
  <c r="G114" i="70" s="1"/>
  <c r="G115" i="70" s="1"/>
  <c r="G116" i="70"/>
  <c r="G118" i="70" s="1"/>
  <c r="G119" i="70" s="1"/>
  <c r="G120" i="70" s="1"/>
  <c r="G117" i="70"/>
  <c r="G122" i="70"/>
  <c r="G129" i="70" s="1"/>
  <c r="G130" i="70" s="1"/>
  <c r="G131" i="70" s="1"/>
  <c r="G123" i="70"/>
  <c r="G124" i="70"/>
  <c r="G125" i="70"/>
  <c r="G126" i="70"/>
  <c r="G127" i="70"/>
  <c r="G132" i="70"/>
  <c r="G133" i="70"/>
  <c r="G134" i="70"/>
  <c r="G135" i="70"/>
  <c r="G136" i="70"/>
  <c r="G137" i="70"/>
  <c r="G139" i="70"/>
  <c r="G140" i="70" s="1"/>
  <c r="G141" i="70" s="1"/>
  <c r="G142" i="70"/>
  <c r="G143" i="70"/>
  <c r="G144" i="70" s="1"/>
  <c r="G147" i="70"/>
  <c r="F148" i="70"/>
  <c r="G148" i="70"/>
  <c r="F149" i="70"/>
  <c r="G149" i="70" s="1"/>
  <c r="F150" i="70"/>
  <c r="G150" i="70"/>
  <c r="F151" i="70"/>
  <c r="G151" i="70" s="1"/>
  <c r="G152" i="70"/>
  <c r="F153" i="70"/>
  <c r="G153" i="70" s="1"/>
  <c r="F154" i="70"/>
  <c r="G154" i="70" s="1"/>
  <c r="G155" i="70"/>
  <c r="G156" i="70"/>
  <c r="G157" i="70"/>
  <c r="G158" i="70"/>
  <c r="G163" i="70"/>
  <c r="F164" i="70"/>
  <c r="G164" i="70" s="1"/>
  <c r="F165" i="70"/>
  <c r="G165" i="70" s="1"/>
  <c r="F166" i="70"/>
  <c r="G166" i="70" s="1"/>
  <c r="F167" i="70"/>
  <c r="G167" i="70" s="1"/>
  <c r="G168" i="70"/>
  <c r="F169" i="70"/>
  <c r="G169" i="70" s="1"/>
  <c r="F170" i="70"/>
  <c r="G170" i="70"/>
  <c r="G171" i="70"/>
  <c r="G172" i="70"/>
  <c r="G173" i="70"/>
  <c r="G174" i="70"/>
  <c r="G178" i="70"/>
  <c r="G179" i="70" s="1"/>
  <c r="G180" i="70" s="1"/>
  <c r="G183" i="70"/>
  <c r="G184" i="70"/>
  <c r="G186" i="70" s="1"/>
  <c r="G187" i="70" s="1"/>
  <c r="G188" i="70" s="1"/>
  <c r="G185" i="70"/>
  <c r="G190" i="70"/>
  <c r="G191" i="70"/>
  <c r="G192" i="70"/>
  <c r="G193" i="70"/>
  <c r="G194" i="70" s="1"/>
  <c r="G195" i="70" s="1"/>
  <c r="G229" i="70"/>
  <c r="G231" i="70" s="1"/>
  <c r="G232" i="70" s="1"/>
  <c r="G233" i="70" s="1"/>
  <c r="C11" i="69" s="1"/>
  <c r="G230" i="70"/>
  <c r="G237" i="70"/>
  <c r="G238" i="70"/>
  <c r="G239" i="70"/>
  <c r="G240" i="70"/>
  <c r="G241" i="70"/>
  <c r="G242" i="70"/>
  <c r="G243" i="70"/>
  <c r="G244" i="70"/>
  <c r="G245" i="70"/>
  <c r="G246" i="70"/>
  <c r="G247" i="70"/>
  <c r="G248" i="70"/>
  <c r="G249" i="70"/>
  <c r="G250" i="70"/>
  <c r="G251" i="70"/>
  <c r="G252" i="70"/>
  <c r="G253" i="70"/>
  <c r="G254" i="70"/>
  <c r="G255" i="70"/>
  <c r="G256" i="70"/>
  <c r="G257" i="70"/>
  <c r="G258" i="70"/>
  <c r="G259" i="70"/>
  <c r="G260" i="70"/>
  <c r="G261" i="70"/>
  <c r="G263" i="70"/>
  <c r="G264" i="70"/>
  <c r="G265" i="70"/>
  <c r="G266" i="70"/>
  <c r="G267" i="70"/>
  <c r="G268" i="70"/>
  <c r="G269" i="70"/>
  <c r="G270" i="70"/>
  <c r="G271" i="70"/>
  <c r="G272" i="70"/>
  <c r="G273" i="70" s="1"/>
  <c r="G286" i="70" s="1"/>
  <c r="G287" i="70" s="1"/>
  <c r="G288" i="70" s="1"/>
  <c r="C55" i="69" s="1"/>
  <c r="G275" i="70"/>
  <c r="G284" i="70" s="1"/>
  <c r="G276" i="70"/>
  <c r="G277" i="70"/>
  <c r="G278" i="70"/>
  <c r="G279" i="70"/>
  <c r="G280" i="70"/>
  <c r="G281" i="70"/>
  <c r="G282" i="70"/>
  <c r="G283" i="70"/>
  <c r="G290" i="70"/>
  <c r="G291" i="70"/>
  <c r="G292" i="70"/>
  <c r="G293" i="70"/>
  <c r="G294" i="70"/>
  <c r="G295" i="70"/>
  <c r="G296" i="70"/>
  <c r="G297" i="70"/>
  <c r="G298" i="70"/>
  <c r="G299" i="70"/>
  <c r="G300" i="70"/>
  <c r="G301" i="70"/>
  <c r="G302" i="70"/>
  <c r="G303" i="70"/>
  <c r="G304" i="70"/>
  <c r="G326" i="70" s="1"/>
  <c r="G305" i="70"/>
  <c r="G306" i="70"/>
  <c r="G307" i="70"/>
  <c r="G308" i="70"/>
  <c r="G309" i="70"/>
  <c r="G310" i="70"/>
  <c r="G311" i="70"/>
  <c r="G312" i="70"/>
  <c r="G313" i="70"/>
  <c r="G314" i="70"/>
  <c r="G316" i="70"/>
  <c r="G317" i="70"/>
  <c r="G318" i="70"/>
  <c r="G319" i="70"/>
  <c r="G320" i="70"/>
  <c r="G321" i="70"/>
  <c r="G322" i="70"/>
  <c r="G323" i="70"/>
  <c r="G324" i="70"/>
  <c r="G325" i="70"/>
  <c r="G329" i="70"/>
  <c r="G330" i="70"/>
  <c r="G331" i="70"/>
  <c r="G338" i="70" s="1"/>
  <c r="G332" i="70"/>
  <c r="G333" i="70"/>
  <c r="G334" i="70"/>
  <c r="G335" i="70"/>
  <c r="G336" i="70"/>
  <c r="G337" i="70"/>
  <c r="G342" i="70"/>
  <c r="G361" i="70" s="1"/>
  <c r="G364" i="70" s="1"/>
  <c r="G365" i="70" s="1"/>
  <c r="G366" i="70" s="1"/>
  <c r="C57" i="69" s="1"/>
  <c r="G343" i="70"/>
  <c r="G344" i="70"/>
  <c r="G345" i="70"/>
  <c r="G346" i="70"/>
  <c r="G347" i="70"/>
  <c r="G348" i="70"/>
  <c r="G349" i="70"/>
  <c r="G350" i="70"/>
  <c r="G351" i="70"/>
  <c r="G352" i="70"/>
  <c r="G353" i="70"/>
  <c r="G354" i="70"/>
  <c r="G355" i="70"/>
  <c r="G356" i="70"/>
  <c r="G357" i="70"/>
  <c r="G358" i="70"/>
  <c r="G359" i="70"/>
  <c r="G360" i="70"/>
  <c r="G363" i="70"/>
  <c r="D370" i="70"/>
  <c r="G370" i="70"/>
  <c r="G373" i="70" s="1"/>
  <c r="G379" i="70" s="1"/>
  <c r="G380" i="70" s="1"/>
  <c r="G381" i="70" s="1"/>
  <c r="C79" i="69" s="1"/>
  <c r="D371" i="70"/>
  <c r="G371" i="70" s="1"/>
  <c r="D372" i="70"/>
  <c r="G372" i="70"/>
  <c r="G375" i="70"/>
  <c r="G376" i="70"/>
  <c r="G378" i="70" s="1"/>
  <c r="F377" i="70"/>
  <c r="G377" i="70" s="1"/>
  <c r="D383" i="70"/>
  <c r="G383" i="70"/>
  <c r="D384" i="70"/>
  <c r="G384" i="70" s="1"/>
  <c r="G386" i="70" s="1"/>
  <c r="G391" i="70" s="1"/>
  <c r="G392" i="70" s="1"/>
  <c r="G393" i="70" s="1"/>
  <c r="D385" i="70"/>
  <c r="G385" i="70"/>
  <c r="G388" i="70"/>
  <c r="F389" i="70"/>
  <c r="G389" i="70"/>
  <c r="G390" i="70"/>
  <c r="G396" i="70"/>
  <c r="G398" i="70" s="1"/>
  <c r="G399" i="70" s="1"/>
  <c r="G400" i="70" s="1"/>
  <c r="C82" i="69" s="1"/>
  <c r="G397" i="70"/>
  <c r="G402" i="70"/>
  <c r="G403" i="70"/>
  <c r="G404" i="70"/>
  <c r="G405" i="70"/>
  <c r="G406" i="70" s="1"/>
  <c r="G409" i="70"/>
  <c r="G410" i="70"/>
  <c r="G411" i="70"/>
  <c r="G412" i="70"/>
  <c r="G413" i="70"/>
  <c r="G414" i="70"/>
  <c r="G415" i="70"/>
  <c r="G416" i="70" s="1"/>
  <c r="G417" i="70" s="1"/>
  <c r="C85" i="69" s="1"/>
  <c r="G419" i="70"/>
  <c r="G420" i="70"/>
  <c r="G427" i="70" s="1"/>
  <c r="G428" i="70" s="1"/>
  <c r="G429" i="70" s="1"/>
  <c r="C86" i="69" s="1"/>
  <c r="G421" i="70"/>
  <c r="G422" i="70"/>
  <c r="G423" i="70"/>
  <c r="G424" i="70"/>
  <c r="G425" i="70"/>
  <c r="G426" i="70"/>
  <c r="D432" i="70"/>
  <c r="G432" i="70"/>
  <c r="G433" i="70"/>
  <c r="G434" i="70"/>
  <c r="G435" i="70"/>
  <c r="G436" i="70"/>
  <c r="G437" i="70"/>
  <c r="G438" i="70"/>
  <c r="G439" i="70"/>
  <c r="G440" i="70"/>
  <c r="G441" i="70"/>
  <c r="G442" i="70"/>
  <c r="G443" i="70"/>
  <c r="G444" i="70"/>
  <c r="G445" i="70"/>
  <c r="G446" i="70"/>
  <c r="G447" i="70"/>
  <c r="G448" i="70"/>
  <c r="G450" i="70"/>
  <c r="G459" i="70" s="1"/>
  <c r="G451" i="70"/>
  <c r="G452" i="70"/>
  <c r="G453" i="70"/>
  <c r="G454" i="70"/>
  <c r="G455" i="70"/>
  <c r="G456" i="70"/>
  <c r="G457" i="70"/>
  <c r="G458" i="70"/>
  <c r="D464" i="70"/>
  <c r="G464" i="70" s="1"/>
  <c r="G480" i="70" s="1"/>
  <c r="G492" i="70" s="1"/>
  <c r="G493" i="70" s="1"/>
  <c r="G494" i="70" s="1"/>
  <c r="C61" i="69" s="1"/>
  <c r="G465" i="70"/>
  <c r="G466" i="70"/>
  <c r="G467" i="70"/>
  <c r="G468" i="70"/>
  <c r="G469" i="70"/>
  <c r="G470" i="70"/>
  <c r="G471" i="70"/>
  <c r="G472" i="70"/>
  <c r="G473" i="70"/>
  <c r="G474" i="70"/>
  <c r="G475" i="70"/>
  <c r="G476" i="70"/>
  <c r="G477" i="70"/>
  <c r="G478" i="70"/>
  <c r="G479" i="70"/>
  <c r="G482" i="70"/>
  <c r="G483" i="70"/>
  <c r="G484" i="70"/>
  <c r="G485" i="70"/>
  <c r="G486" i="70"/>
  <c r="G487" i="70"/>
  <c r="G488" i="70"/>
  <c r="G489" i="70"/>
  <c r="G490" i="70"/>
  <c r="G491" i="70"/>
  <c r="G495" i="70"/>
  <c r="G496" i="70"/>
  <c r="G497" i="70"/>
  <c r="G498" i="70"/>
  <c r="G499" i="70"/>
  <c r="G500" i="70"/>
  <c r="G501" i="70"/>
  <c r="G502" i="70"/>
  <c r="G503" i="70"/>
  <c r="G504" i="70"/>
  <c r="G505" i="70"/>
  <c r="G506" i="70"/>
  <c r="G507" i="70"/>
  <c r="G508" i="70"/>
  <c r="G509" i="70"/>
  <c r="G510" i="70"/>
  <c r="G511" i="70"/>
  <c r="D512" i="70"/>
  <c r="G512" i="70" s="1"/>
  <c r="G514" i="70"/>
  <c r="G520" i="70"/>
  <c r="G537" i="70" s="1"/>
  <c r="G521" i="70"/>
  <c r="G522" i="70"/>
  <c r="G523" i="70"/>
  <c r="G524" i="70"/>
  <c r="G525" i="70"/>
  <c r="G526" i="70"/>
  <c r="G527" i="70"/>
  <c r="G528" i="70"/>
  <c r="G529" i="70"/>
  <c r="G530" i="70"/>
  <c r="G531" i="70"/>
  <c r="G532" i="70"/>
  <c r="G533" i="70"/>
  <c r="G534" i="70"/>
  <c r="G535" i="70"/>
  <c r="G536" i="70"/>
  <c r="G539" i="70"/>
  <c r="G540" i="70"/>
  <c r="G547" i="70" s="1"/>
  <c r="G541" i="70"/>
  <c r="G542" i="70"/>
  <c r="G543" i="70"/>
  <c r="G544" i="70"/>
  <c r="G545" i="70"/>
  <c r="G546" i="70"/>
  <c r="G552" i="70"/>
  <c r="G553" i="70"/>
  <c r="G554" i="70"/>
  <c r="G555" i="70"/>
  <c r="G556" i="70"/>
  <c r="G557" i="70"/>
  <c r="G558" i="70"/>
  <c r="G559" i="70"/>
  <c r="G560" i="70"/>
  <c r="G561" i="70"/>
  <c r="G562" i="70"/>
  <c r="G563" i="70"/>
  <c r="G564" i="70"/>
  <c r="G565" i="70"/>
  <c r="G566" i="70"/>
  <c r="G567" i="70"/>
  <c r="G568" i="70"/>
  <c r="G569" i="70"/>
  <c r="G580" i="70" s="1"/>
  <c r="G581" i="70" s="1"/>
  <c r="G582" i="70" s="1"/>
  <c r="G571" i="70"/>
  <c r="G572" i="70"/>
  <c r="G573" i="70"/>
  <c r="G574" i="70"/>
  <c r="G575" i="70"/>
  <c r="G576" i="70"/>
  <c r="G577" i="70"/>
  <c r="G578" i="70"/>
  <c r="G579" i="70"/>
  <c r="G583" i="70"/>
  <c r="G601" i="70" s="1"/>
  <c r="G603" i="70" s="1"/>
  <c r="G604" i="70" s="1"/>
  <c r="G605" i="70" s="1"/>
  <c r="G584" i="70"/>
  <c r="G585" i="70"/>
  <c r="G586" i="70"/>
  <c r="G587" i="70"/>
  <c r="G588" i="70"/>
  <c r="G589" i="70"/>
  <c r="G590" i="70"/>
  <c r="G591" i="70"/>
  <c r="G592" i="70"/>
  <c r="G593" i="70"/>
  <c r="G594" i="70"/>
  <c r="G595" i="70"/>
  <c r="G596" i="70"/>
  <c r="G597" i="70"/>
  <c r="G598" i="70"/>
  <c r="G599" i="70"/>
  <c r="G600" i="70"/>
  <c r="G602" i="70"/>
  <c r="G608" i="70"/>
  <c r="G620" i="70" s="1"/>
  <c r="G621" i="70" s="1"/>
  <c r="G622" i="70" s="1"/>
  <c r="G609" i="70"/>
  <c r="G610" i="70"/>
  <c r="G611" i="70"/>
  <c r="G612" i="70"/>
  <c r="G613" i="70"/>
  <c r="G614" i="70"/>
  <c r="G615" i="70"/>
  <c r="G617" i="70"/>
  <c r="G618" i="70"/>
  <c r="G619" i="70"/>
  <c r="G624" i="70"/>
  <c r="G625" i="70"/>
  <c r="G626" i="70"/>
  <c r="G627" i="70"/>
  <c r="G628" i="70"/>
  <c r="G629" i="70"/>
  <c r="G630" i="70"/>
  <c r="G631" i="70"/>
  <c r="G633" i="70"/>
  <c r="G634" i="70"/>
  <c r="G635" i="70"/>
  <c r="G636" i="70"/>
  <c r="G637" i="70" s="1"/>
  <c r="G638" i="70" s="1"/>
  <c r="C71" i="69" s="1"/>
  <c r="G640" i="70"/>
  <c r="G641" i="70"/>
  <c r="G642" i="70" s="1"/>
  <c r="C72" i="69" s="1"/>
  <c r="G645" i="70"/>
  <c r="G646" i="70"/>
  <c r="G647" i="70"/>
  <c r="G648" i="70"/>
  <c r="G649" i="70"/>
  <c r="G650" i="70"/>
  <c r="G651" i="70"/>
  <c r="G652" i="70"/>
  <c r="G653" i="70"/>
  <c r="G654" i="70"/>
  <c r="G655" i="70"/>
  <c r="G656" i="70"/>
  <c r="G657" i="70"/>
  <c r="G658" i="70"/>
  <c r="G659" i="70"/>
  <c r="G660" i="70" s="1"/>
  <c r="G661" i="70" s="1"/>
  <c r="C74" i="69" s="1"/>
  <c r="G663" i="70"/>
  <c r="G664" i="70"/>
  <c r="G665" i="70" s="1"/>
  <c r="G666" i="70" s="1"/>
  <c r="G668" i="70"/>
  <c r="G671" i="70" s="1"/>
  <c r="G669" i="70"/>
  <c r="G670" i="70"/>
  <c r="G682" i="70"/>
  <c r="G684" i="70" s="1"/>
  <c r="G685" i="70" s="1"/>
  <c r="G686" i="70" s="1"/>
  <c r="C88" i="69" s="1"/>
  <c r="G707" i="70"/>
  <c r="G709" i="70" s="1"/>
  <c r="G710" i="70" s="1"/>
  <c r="G711" i="70" s="1"/>
  <c r="G712" i="70"/>
  <c r="G714" i="70" s="1"/>
  <c r="G715" i="70" s="1"/>
  <c r="G716" i="70" s="1"/>
  <c r="C94" i="69" s="1"/>
  <c r="G720" i="70"/>
  <c r="G723" i="70" s="1"/>
  <c r="G725" i="70" s="1"/>
  <c r="G721" i="70"/>
  <c r="G722" i="70"/>
  <c r="G728" i="70"/>
  <c r="G729" i="70"/>
  <c r="G730" i="70"/>
  <c r="G731" i="70"/>
  <c r="G732" i="70"/>
  <c r="C738" i="70"/>
  <c r="D738" i="70"/>
  <c r="F738" i="70"/>
  <c r="G738" i="70"/>
  <c r="C739" i="70"/>
  <c r="D739" i="70"/>
  <c r="F739" i="70"/>
  <c r="G739" i="70"/>
  <c r="C740" i="70"/>
  <c r="D740" i="70"/>
  <c r="F740" i="70"/>
  <c r="G740" i="70"/>
  <c r="D741" i="70"/>
  <c r="F741" i="70"/>
  <c r="G741" i="70"/>
  <c r="G742" i="70"/>
  <c r="G743" i="70" s="1"/>
  <c r="G744" i="70" s="1"/>
  <c r="C98" i="69" s="1"/>
  <c r="F98" i="69" s="1"/>
  <c r="G747" i="70"/>
  <c r="G749" i="70" s="1"/>
  <c r="G748" i="70"/>
  <c r="C753" i="70"/>
  <c r="D753" i="70"/>
  <c r="G753" i="70" s="1"/>
  <c r="G755" i="70" s="1"/>
  <c r="G756" i="70" s="1"/>
  <c r="G757" i="70" s="1"/>
  <c r="C754" i="70"/>
  <c r="D754" i="70"/>
  <c r="G754" i="70" s="1"/>
  <c r="G759" i="70"/>
  <c r="G760" i="70"/>
  <c r="G761" i="70"/>
  <c r="G762" i="70"/>
  <c r="G763" i="70" s="1"/>
  <c r="C106" i="69" s="1"/>
  <c r="F106" i="69" s="1"/>
  <c r="G771" i="70"/>
  <c r="G772" i="70"/>
  <c r="G774" i="70" s="1"/>
  <c r="G773" i="70"/>
  <c r="C96" i="69" s="1"/>
  <c r="I5" i="64"/>
  <c r="L5" i="64"/>
  <c r="I7" i="64"/>
  <c r="L7" i="64" s="1"/>
  <c r="I9" i="64"/>
  <c r="K9" i="64"/>
  <c r="L9" i="64"/>
  <c r="K15" i="64"/>
  <c r="C99" i="64"/>
  <c r="C102" i="64"/>
  <c r="E113" i="64"/>
  <c r="F17" i="63"/>
  <c r="C100" i="52"/>
  <c r="F100" i="52"/>
  <c r="F57" i="63"/>
  <c r="F61" i="63" s="1"/>
  <c r="E544" i="15"/>
  <c r="F544" i="15"/>
  <c r="F545" i="15" s="1"/>
  <c r="F546" i="15" s="1"/>
  <c r="C23" i="52"/>
  <c r="E820" i="39"/>
  <c r="F820" i="39" s="1"/>
  <c r="E1290" i="71"/>
  <c r="F1290" i="71"/>
  <c r="E1254" i="71"/>
  <c r="F1254" i="71" s="1"/>
  <c r="E94" i="71"/>
  <c r="F94" i="71"/>
  <c r="F44" i="42"/>
  <c r="E862" i="15"/>
  <c r="F862" i="15" s="1"/>
  <c r="E76" i="71"/>
  <c r="F76" i="71" s="1"/>
  <c r="E81" i="71" s="1"/>
  <c r="F81" i="71" s="1"/>
  <c r="F31" i="42"/>
  <c r="F23" i="42"/>
  <c r="F5" i="42"/>
  <c r="F77" i="42" s="1"/>
  <c r="F1036" i="15"/>
  <c r="F1055" i="15" s="1"/>
  <c r="E1238" i="71"/>
  <c r="F1238" i="71" s="1"/>
  <c r="E608" i="71"/>
  <c r="F608" i="71" s="1"/>
  <c r="F1275" i="71"/>
  <c r="E1276" i="71"/>
  <c r="F1276" i="71" s="1"/>
  <c r="F1277" i="71" s="1"/>
  <c r="F209" i="39"/>
  <c r="F210" i="39"/>
  <c r="F55" i="39"/>
  <c r="E1323" i="15"/>
  <c r="F1323" i="15" s="1"/>
  <c r="F1287" i="15"/>
  <c r="F1093" i="15"/>
  <c r="F1114" i="15" s="1"/>
  <c r="E1030" i="15"/>
  <c r="F1030" i="15" s="1"/>
  <c r="E726" i="15"/>
  <c r="F726" i="15" s="1"/>
  <c r="E139" i="15"/>
  <c r="F139" i="15" s="1"/>
  <c r="E98" i="15"/>
  <c r="F98" i="15" s="1"/>
  <c r="E975" i="71"/>
  <c r="F975" i="71" s="1"/>
  <c r="E980" i="71" s="1"/>
  <c r="F980" i="71" s="1"/>
  <c r="F846" i="71"/>
  <c r="F545" i="39"/>
  <c r="F478" i="39"/>
  <c r="F390" i="39"/>
  <c r="F276" i="39"/>
  <c r="F159" i="39"/>
  <c r="F44" i="39"/>
  <c r="E728" i="71"/>
  <c r="F728" i="71" s="1"/>
  <c r="F60" i="42"/>
  <c r="F50" i="42"/>
  <c r="F29" i="42"/>
  <c r="F24" i="42"/>
  <c r="F546" i="39"/>
  <c r="F479" i="39"/>
  <c r="F389" i="39"/>
  <c r="F277" i="39"/>
  <c r="F163" i="39"/>
  <c r="F160" i="39"/>
  <c r="C1442" i="15"/>
  <c r="E1442" i="15" s="1"/>
  <c r="E1281" i="15"/>
  <c r="F1281" i="15" s="1"/>
  <c r="F1282" i="15" s="1"/>
  <c r="F822" i="15"/>
  <c r="E929" i="71"/>
  <c r="F929" i="71" s="1"/>
  <c r="F930" i="71" s="1"/>
  <c r="F931" i="71" s="1"/>
  <c r="F936" i="71" s="1"/>
  <c r="F1031" i="71"/>
  <c r="F1050" i="71" s="1"/>
  <c r="E1196" i="71"/>
  <c r="F1196" i="71" s="1"/>
  <c r="E799" i="71"/>
  <c r="F799" i="71" s="1"/>
  <c r="F573" i="71"/>
  <c r="F353" i="71"/>
  <c r="F358" i="71" s="1"/>
  <c r="F193" i="39"/>
  <c r="F196" i="39"/>
  <c r="F177" i="39"/>
  <c r="F180" i="39"/>
  <c r="F176" i="39"/>
  <c r="E647" i="39"/>
  <c r="F648" i="39" s="1"/>
  <c r="E260" i="71"/>
  <c r="F260" i="71" s="1"/>
  <c r="F262" i="71" s="1"/>
  <c r="F263" i="71" s="1"/>
  <c r="E261" i="71"/>
  <c r="F261" i="71" s="1"/>
  <c r="F536" i="39"/>
  <c r="F537" i="39" s="1"/>
  <c r="E31" i="41" s="1"/>
  <c r="F31" i="41" s="1"/>
  <c r="F535" i="39"/>
  <c r="F499" i="39"/>
  <c r="F500" i="39" s="1"/>
  <c r="F495" i="39"/>
  <c r="F464" i="39"/>
  <c r="F465" i="39" s="1"/>
  <c r="F346" i="39"/>
  <c r="F325" i="39"/>
  <c r="F306" i="39"/>
  <c r="F305" i="39"/>
  <c r="F227" i="39"/>
  <c r="F229" i="39"/>
  <c r="F118" i="39"/>
  <c r="F139" i="39"/>
  <c r="F144" i="39" s="1"/>
  <c r="F117" i="39"/>
  <c r="G1478" i="15"/>
  <c r="F1456" i="15"/>
  <c r="E1249" i="15"/>
  <c r="F1249" i="15"/>
  <c r="F1236" i="15"/>
  <c r="F1237" i="15"/>
  <c r="F1238" i="15" s="1"/>
  <c r="F1239" i="15" s="1"/>
  <c r="E966" i="15"/>
  <c r="F966" i="15" s="1"/>
  <c r="F967" i="15" s="1"/>
  <c r="F968" i="15" s="1"/>
  <c r="F1185" i="15"/>
  <c r="E1210" i="15"/>
  <c r="F1210" i="15"/>
  <c r="E744" i="15"/>
  <c r="F744" i="15"/>
  <c r="E745" i="15"/>
  <c r="F745" i="15"/>
  <c r="F549" i="39"/>
  <c r="F552" i="39"/>
  <c r="F531" i="39"/>
  <c r="F279" i="39"/>
  <c r="F280" i="39" s="1"/>
  <c r="F212" i="39"/>
  <c r="F62" i="39"/>
  <c r="F63" i="39" s="1"/>
  <c r="E5" i="41" s="1"/>
  <c r="F5" i="41" s="1"/>
  <c r="F48" i="41" s="1"/>
  <c r="F1309" i="15"/>
  <c r="E980" i="15"/>
  <c r="E263" i="15"/>
  <c r="F263" i="15" s="1"/>
  <c r="E264" i="15"/>
  <c r="F264" i="15" s="1"/>
  <c r="F159" i="15"/>
  <c r="F178" i="15" s="1"/>
  <c r="E700" i="15"/>
  <c r="F700" i="15" s="1"/>
  <c r="E610" i="15"/>
  <c r="F610" i="15" s="1"/>
  <c r="E355" i="15"/>
  <c r="F355" i="15"/>
  <c r="E8" i="15"/>
  <c r="F8" i="15" s="1"/>
  <c r="E9" i="15"/>
  <c r="F9" i="15" s="1"/>
  <c r="G1328" i="15"/>
  <c r="F164" i="39"/>
  <c r="F165" i="39"/>
  <c r="F166" i="39"/>
  <c r="E7" i="41" s="1"/>
  <c r="F214" i="39"/>
  <c r="F215" i="39" s="1"/>
  <c r="E9" i="40" s="1"/>
  <c r="F9" i="40" s="1"/>
  <c r="F213" i="39"/>
  <c r="F182" i="39"/>
  <c r="F183" i="39" s="1"/>
  <c r="F181" i="39"/>
  <c r="F197" i="39"/>
  <c r="F198" i="39"/>
  <c r="F199" i="39"/>
  <c r="E12" i="40" s="1"/>
  <c r="F12" i="40" s="1"/>
  <c r="F980" i="15"/>
  <c r="E5" i="40"/>
  <c r="F5" i="40" s="1"/>
  <c r="F44" i="40" s="1"/>
  <c r="F281" i="39"/>
  <c r="F283" i="39" s="1"/>
  <c r="F284" i="39" s="1"/>
  <c r="F1186" i="15"/>
  <c r="F230" i="39"/>
  <c r="F231" i="39"/>
  <c r="F232" i="39" s="1"/>
  <c r="E10" i="40" s="1"/>
  <c r="F10" i="40" s="1"/>
  <c r="F7" i="41"/>
  <c r="C80" i="52"/>
  <c r="C16" i="52"/>
  <c r="C124" i="64"/>
  <c r="F124" i="64" s="1"/>
  <c r="C47" i="52"/>
  <c r="C53" i="52"/>
  <c r="C22" i="52"/>
  <c r="C122" i="64"/>
  <c r="F122" i="64" s="1"/>
  <c r="E9" i="41"/>
  <c r="F9" i="41" s="1"/>
  <c r="E730" i="71"/>
  <c r="F730" i="71" s="1"/>
  <c r="E751" i="71"/>
  <c r="F1324" i="15"/>
  <c r="F1325" i="15" s="1"/>
  <c r="F1327" i="15" s="1"/>
  <c r="F1328" i="15" s="1"/>
  <c r="E95" i="71"/>
  <c r="F95" i="71" s="1"/>
  <c r="E96" i="71"/>
  <c r="F96" i="71" s="1"/>
  <c r="E1230" i="71"/>
  <c r="F1230" i="71"/>
  <c r="F1231" i="71" s="1"/>
  <c r="F1232" i="71" s="1"/>
  <c r="E1097" i="71"/>
  <c r="F1097" i="71" s="1"/>
  <c r="F1098" i="71" s="1"/>
  <c r="E1012" i="15"/>
  <c r="F1012" i="15"/>
  <c r="E740" i="71"/>
  <c r="F740" i="71" s="1"/>
  <c r="F741" i="71" s="1"/>
  <c r="F743" i="71" s="1"/>
  <c r="F744" i="71" s="1"/>
  <c r="E739" i="71"/>
  <c r="F739" i="71"/>
  <c r="E35" i="15"/>
  <c r="F35" i="15" s="1"/>
  <c r="F41" i="15" s="1"/>
  <c r="F42" i="15" s="1"/>
  <c r="E36" i="15"/>
  <c r="F36" i="15"/>
  <c r="E1007" i="71"/>
  <c r="E6" i="71"/>
  <c r="F6" i="71" s="1"/>
  <c r="E26" i="42"/>
  <c r="F26" i="42" s="1"/>
  <c r="C18" i="52"/>
  <c r="C33" i="52"/>
  <c r="C77" i="52"/>
  <c r="F425" i="71"/>
  <c r="F426" i="71" s="1"/>
  <c r="F1310" i="15"/>
  <c r="F1311" i="15"/>
  <c r="F359" i="71"/>
  <c r="F360" i="71" s="1"/>
  <c r="F361" i="71" s="1"/>
  <c r="F823" i="15"/>
  <c r="F824" i="15" s="1"/>
  <c r="F554" i="39"/>
  <c r="F555" i="39" s="1"/>
  <c r="F553" i="39"/>
  <c r="F1457" i="15"/>
  <c r="F1458" i="15" s="1"/>
  <c r="F1462" i="15" s="1"/>
  <c r="F574" i="71"/>
  <c r="F575" i="71"/>
  <c r="F1288" i="15"/>
  <c r="F1289" i="15"/>
  <c r="F1290" i="15"/>
  <c r="F1187" i="15"/>
  <c r="F1188" i="15" s="1"/>
  <c r="F1189" i="15" s="1"/>
  <c r="F1190" i="15" s="1"/>
  <c r="F1191" i="15" s="1"/>
  <c r="F356" i="15"/>
  <c r="E1017" i="15"/>
  <c r="F1017" i="15" s="1"/>
  <c r="G1327" i="15"/>
  <c r="E1335" i="15" s="1"/>
  <c r="E32" i="40"/>
  <c r="F32" i="40" s="1"/>
  <c r="E985" i="15"/>
  <c r="F985" i="15" s="1"/>
  <c r="E1406" i="71"/>
  <c r="E1204" i="71"/>
  <c r="F1204" i="71" s="1"/>
  <c r="E1205" i="71"/>
  <c r="F1205" i="71" s="1"/>
  <c r="E1195" i="71"/>
  <c r="F1195" i="71" s="1"/>
  <c r="F1198" i="71" s="1"/>
  <c r="F1199" i="71" s="1"/>
  <c r="E961" i="71"/>
  <c r="F961" i="71" s="1"/>
  <c r="F962" i="71" s="1"/>
  <c r="F963" i="71" s="1"/>
  <c r="E697" i="71"/>
  <c r="F697" i="71"/>
  <c r="E698" i="71"/>
  <c r="F698" i="71" s="1"/>
  <c r="F699" i="71" s="1"/>
  <c r="F700" i="71" s="1"/>
  <c r="F701" i="71" s="1"/>
  <c r="F702" i="71" s="1"/>
  <c r="E706" i="71"/>
  <c r="E638" i="71"/>
  <c r="F638" i="71" s="1"/>
  <c r="E637" i="71"/>
  <c r="F637" i="71" s="1"/>
  <c r="F642" i="71" s="1"/>
  <c r="E136" i="71"/>
  <c r="F136" i="71"/>
  <c r="E137" i="71"/>
  <c r="F137" i="71" s="1"/>
  <c r="E115" i="71"/>
  <c r="F115" i="71" s="1"/>
  <c r="E116" i="71"/>
  <c r="F116" i="71" s="1"/>
  <c r="F482" i="39"/>
  <c r="F483" i="39" s="1"/>
  <c r="F480" i="39"/>
  <c r="F461" i="39"/>
  <c r="F462" i="39"/>
  <c r="F10" i="39"/>
  <c r="E21" i="39"/>
  <c r="F21" i="39" s="1"/>
  <c r="J1426" i="15"/>
  <c r="F1256" i="15"/>
  <c r="E1259" i="15"/>
  <c r="F1259" i="15" s="1"/>
  <c r="E1209" i="15"/>
  <c r="F1209" i="15" s="1"/>
  <c r="F1212" i="15" s="1"/>
  <c r="F1213" i="15" s="1"/>
  <c r="E1201" i="15"/>
  <c r="F1201" i="15" s="1"/>
  <c r="E1156" i="15"/>
  <c r="F1156" i="15" s="1"/>
  <c r="F1157" i="15" s="1"/>
  <c r="F1158" i="15" s="1"/>
  <c r="E934" i="15"/>
  <c r="F934" i="15" s="1"/>
  <c r="F935" i="15" s="1"/>
  <c r="F936" i="15" s="1"/>
  <c r="E898" i="15"/>
  <c r="F898" i="15" s="1"/>
  <c r="F899" i="15" s="1"/>
  <c r="F900" i="15" s="1"/>
  <c r="F906" i="15" s="1"/>
  <c r="F907" i="15" s="1"/>
  <c r="F908" i="15" s="1"/>
  <c r="F732" i="15"/>
  <c r="E733" i="15"/>
  <c r="F733" i="15"/>
  <c r="E727" i="15"/>
  <c r="F727" i="15" s="1"/>
  <c r="F728" i="15" s="1"/>
  <c r="F729" i="15" s="1"/>
  <c r="E701" i="15"/>
  <c r="F701" i="15"/>
  <c r="E709" i="15"/>
  <c r="E671" i="15"/>
  <c r="F671" i="15"/>
  <c r="E672" i="15"/>
  <c r="F672" i="15" s="1"/>
  <c r="E640" i="15"/>
  <c r="F640" i="15" s="1"/>
  <c r="E641" i="15"/>
  <c r="F641" i="15" s="1"/>
  <c r="E649" i="39"/>
  <c r="F649" i="39" s="1"/>
  <c r="E669" i="39"/>
  <c r="E119" i="15"/>
  <c r="F119" i="15" s="1"/>
  <c r="E99" i="15"/>
  <c r="F99" i="15" s="1"/>
  <c r="G1418" i="71"/>
  <c r="E1419" i="71"/>
  <c r="G1419" i="71" s="1"/>
  <c r="E893" i="71"/>
  <c r="F893" i="71" s="1"/>
  <c r="F894" i="71" s="1"/>
  <c r="F895" i="71" s="1"/>
  <c r="F901" i="71" s="1"/>
  <c r="E232" i="71"/>
  <c r="F232" i="71"/>
  <c r="E233" i="71"/>
  <c r="F233" i="71" s="1"/>
  <c r="E202" i="71"/>
  <c r="F202" i="71"/>
  <c r="F204" i="71" s="1"/>
  <c r="F205" i="71" s="1"/>
  <c r="F206" i="71" s="1"/>
  <c r="F207" i="71" s="1"/>
  <c r="E203" i="71"/>
  <c r="F203" i="71" s="1"/>
  <c r="F597" i="39"/>
  <c r="E613" i="39"/>
  <c r="F529" i="39"/>
  <c r="F530" i="39"/>
  <c r="F496" i="39"/>
  <c r="F497" i="39"/>
  <c r="F442" i="39"/>
  <c r="F444" i="39"/>
  <c r="F443" i="39"/>
  <c r="F410" i="39"/>
  <c r="F411" i="39" s="1"/>
  <c r="F408" i="39"/>
  <c r="F407" i="39"/>
  <c r="F372" i="39"/>
  <c r="F371" i="39"/>
  <c r="F347" i="39"/>
  <c r="F348" i="39"/>
  <c r="F349" i="39" s="1"/>
  <c r="F351" i="39" s="1"/>
  <c r="F1304" i="71"/>
  <c r="F1180" i="71"/>
  <c r="F1083" i="71"/>
  <c r="F838" i="71"/>
  <c r="E618" i="71"/>
  <c r="E585" i="71"/>
  <c r="F165" i="71"/>
  <c r="F708" i="39"/>
  <c r="J1429" i="15"/>
  <c r="G1398" i="15"/>
  <c r="F1031" i="15"/>
  <c r="E948" i="15"/>
  <c r="F843" i="15"/>
  <c r="E652" i="15"/>
  <c r="E621" i="15"/>
  <c r="F154" i="15"/>
  <c r="F160" i="15" s="1"/>
  <c r="F62" i="15"/>
  <c r="C118" i="64"/>
  <c r="F118" i="64"/>
  <c r="E669" i="71"/>
  <c r="F669" i="71" s="1"/>
  <c r="F746" i="15"/>
  <c r="F748" i="15" s="1"/>
  <c r="F749" i="15" s="1"/>
  <c r="E1218" i="15"/>
  <c r="E804" i="15"/>
  <c r="E1243" i="15"/>
  <c r="F1243" i="15" s="1"/>
  <c r="G1430" i="15"/>
  <c r="F460" i="39"/>
  <c r="E1213" i="71"/>
  <c r="E943" i="71"/>
  <c r="F576" i="15"/>
  <c r="F577" i="15" s="1"/>
  <c r="F579" i="15" s="1"/>
  <c r="F580" i="15" s="1"/>
  <c r="F582" i="15" s="1"/>
  <c r="E1489" i="15"/>
  <c r="F425" i="39"/>
  <c r="E34" i="71"/>
  <c r="F34" i="71" s="1"/>
  <c r="F39" i="71" s="1"/>
  <c r="F40" i="71" s="1"/>
  <c r="E720" i="71"/>
  <c r="F720" i="71" s="1"/>
  <c r="E722" i="71" s="1"/>
  <c r="F722" i="71" s="1"/>
  <c r="F426" i="39"/>
  <c r="E118" i="15"/>
  <c r="F118" i="15"/>
  <c r="E588" i="15"/>
  <c r="E1200" i="15"/>
  <c r="F1200" i="15" s="1"/>
  <c r="F1203" i="15" s="1"/>
  <c r="F1204" i="15" s="1"/>
  <c r="F1214" i="15" s="1"/>
  <c r="F424" i="39"/>
  <c r="E30" i="42"/>
  <c r="F30" i="42" s="1"/>
  <c r="F1370" i="71"/>
  <c r="F1371" i="71"/>
  <c r="E1244" i="71"/>
  <c r="F1244" i="71" s="1"/>
  <c r="F788" i="71"/>
  <c r="F156" i="71"/>
  <c r="F175" i="71" s="1"/>
  <c r="F11" i="38"/>
  <c r="F324" i="39"/>
  <c r="F327" i="39"/>
  <c r="F330" i="39" s="1"/>
  <c r="F332" i="39" s="1"/>
  <c r="F333" i="39" s="1"/>
  <c r="F1370" i="15"/>
  <c r="F1371" i="15" s="1"/>
  <c r="C80" i="64"/>
  <c r="C70" i="64"/>
  <c r="C64" i="64"/>
  <c r="F406" i="39"/>
  <c r="E913" i="15"/>
  <c r="F52" i="42"/>
  <c r="F733" i="39"/>
  <c r="F734" i="39" s="1"/>
  <c r="F790" i="71"/>
  <c r="F789" i="71"/>
  <c r="F578" i="15"/>
  <c r="F1213" i="71"/>
  <c r="E1218" i="71" s="1"/>
  <c r="F1218" i="71" s="1"/>
  <c r="F1218" i="15"/>
  <c r="E1223" i="15" s="1"/>
  <c r="F1223" i="15" s="1"/>
  <c r="F64" i="15"/>
  <c r="F63" i="15"/>
  <c r="F65" i="15" s="1"/>
  <c r="F652" i="15"/>
  <c r="E657" i="15" s="1"/>
  <c r="F657" i="15" s="1"/>
  <c r="F948" i="15"/>
  <c r="E953" i="15" s="1"/>
  <c r="F953" i="15" s="1"/>
  <c r="F709" i="39"/>
  <c r="F710" i="39"/>
  <c r="F711" i="39" s="1"/>
  <c r="F585" i="71"/>
  <c r="E590" i="71"/>
  <c r="F590" i="71" s="1"/>
  <c r="F840" i="71"/>
  <c r="F839" i="71"/>
  <c r="F841" i="71"/>
  <c r="F847" i="71" s="1"/>
  <c r="F1181" i="71"/>
  <c r="F1182" i="71" s="1"/>
  <c r="F1183" i="71" s="1"/>
  <c r="E625" i="39"/>
  <c r="F625" i="39"/>
  <c r="F613" i="39"/>
  <c r="F902" i="71"/>
  <c r="F903" i="71" s="1"/>
  <c r="E690" i="39"/>
  <c r="F690" i="39"/>
  <c r="F669" i="39"/>
  <c r="E642" i="39"/>
  <c r="F642" i="39" s="1"/>
  <c r="E734" i="15"/>
  <c r="F734" i="15" s="1"/>
  <c r="F736" i="15" s="1"/>
  <c r="F738" i="15" s="1"/>
  <c r="F739" i="15" s="1"/>
  <c r="E756" i="15"/>
  <c r="E735" i="15"/>
  <c r="F735" i="15"/>
  <c r="F12" i="39"/>
  <c r="F31" i="39"/>
  <c r="F32" i="39" s="1"/>
  <c r="F13" i="39"/>
  <c r="F1406" i="71"/>
  <c r="G1406" i="71"/>
  <c r="F913" i="15"/>
  <c r="E918" i="15" s="1"/>
  <c r="F918" i="15" s="1"/>
  <c r="F588" i="15"/>
  <c r="E593" i="15" s="1"/>
  <c r="F593" i="15" s="1"/>
  <c r="F41" i="71"/>
  <c r="F42" i="71"/>
  <c r="F43" i="71" s="1"/>
  <c r="F1489" i="15"/>
  <c r="G1489" i="15" s="1"/>
  <c r="F943" i="71"/>
  <c r="E948" i="71" s="1"/>
  <c r="F948" i="71" s="1"/>
  <c r="F804" i="15"/>
  <c r="F805" i="15"/>
  <c r="F161" i="15"/>
  <c r="F163" i="15" s="1"/>
  <c r="F162" i="15"/>
  <c r="F621" i="15"/>
  <c r="E626" i="15" s="1"/>
  <c r="F626" i="15" s="1"/>
  <c r="F845" i="15"/>
  <c r="F844" i="15"/>
  <c r="F1038" i="15"/>
  <c r="F1037" i="15"/>
  <c r="F618" i="71"/>
  <c r="E623" i="71" s="1"/>
  <c r="F623" i="71" s="1"/>
  <c r="F1305" i="71"/>
  <c r="F1308" i="71" s="1"/>
  <c r="F1309" i="71" s="1"/>
  <c r="F1306" i="71"/>
  <c r="G1322" i="71"/>
  <c r="G1425" i="71"/>
  <c r="G1430" i="71" s="1"/>
  <c r="G1431" i="71" s="1"/>
  <c r="J1421" i="71"/>
  <c r="F709" i="15"/>
  <c r="E714" i="15" s="1"/>
  <c r="F714" i="15" s="1"/>
  <c r="F23" i="39"/>
  <c r="F24" i="39"/>
  <c r="F706" i="71"/>
  <c r="E711" i="71" s="1"/>
  <c r="F711" i="71" s="1"/>
  <c r="E48" i="42"/>
  <c r="F48" i="42" s="1"/>
  <c r="F937" i="71"/>
  <c r="F938" i="71" s="1"/>
  <c r="F939" i="71" s="1"/>
  <c r="F942" i="71" s="1"/>
  <c r="F944" i="71" s="1"/>
  <c r="E32" i="41"/>
  <c r="F32" i="41" s="1"/>
  <c r="E33" i="40"/>
  <c r="F33" i="40" s="1"/>
  <c r="E721" i="71"/>
  <c r="F721" i="71" s="1"/>
  <c r="C1493" i="15"/>
  <c r="C1410" i="71"/>
  <c r="E1410" i="71" s="1"/>
  <c r="F576" i="71"/>
  <c r="F577" i="71"/>
  <c r="F579" i="71" s="1"/>
  <c r="F1313" i="15"/>
  <c r="F1314" i="15" s="1"/>
  <c r="F1315" i="15" s="1"/>
  <c r="F1316" i="15" s="1"/>
  <c r="F1317" i="15" s="1"/>
  <c r="E1493" i="15"/>
  <c r="F806" i="15"/>
  <c r="E101" i="52" s="1"/>
  <c r="F101" i="52" s="1"/>
  <c r="F808" i="15"/>
  <c r="F33" i="39"/>
  <c r="F34" i="39" s="1"/>
  <c r="F756" i="15"/>
  <c r="E761" i="15" s="1"/>
  <c r="F761" i="15" s="1"/>
  <c r="E809" i="15"/>
  <c r="F809" i="15" s="1"/>
  <c r="E100" i="58"/>
  <c r="E114" i="64"/>
  <c r="E551" i="15"/>
  <c r="F551" i="15"/>
  <c r="E550" i="15"/>
  <c r="F550" i="15"/>
  <c r="F552" i="15" s="1"/>
  <c r="F553" i="15" s="1"/>
  <c r="F630" i="39"/>
  <c r="F631" i="39" s="1"/>
  <c r="F629" i="39"/>
  <c r="E328" i="15"/>
  <c r="F328" i="15" s="1"/>
  <c r="F330" i="15" s="1"/>
  <c r="F331" i="15" s="1"/>
  <c r="E329" i="15"/>
  <c r="F329" i="15"/>
  <c r="F428" i="15"/>
  <c r="F429" i="15"/>
  <c r="E18" i="67" s="1"/>
  <c r="E18" i="52"/>
  <c r="F18" i="52" s="1"/>
  <c r="E18" i="58"/>
  <c r="E17" i="69"/>
  <c r="E26" i="64"/>
  <c r="F412" i="39" l="1"/>
  <c r="F413" i="39"/>
  <c r="F414" i="39" s="1"/>
  <c r="E1265" i="15"/>
  <c r="F1265" i="15" s="1"/>
  <c r="E1264" i="15"/>
  <c r="F1264" i="15" s="1"/>
  <c r="F484" i="39"/>
  <c r="F485" i="39"/>
  <c r="F486" i="39" s="1"/>
  <c r="F1463" i="15"/>
  <c r="F1464" i="15" s="1"/>
  <c r="F1465" i="15" s="1"/>
  <c r="F183" i="71"/>
  <c r="F176" i="71"/>
  <c r="F177" i="71"/>
  <c r="E15" i="40"/>
  <c r="E14" i="41"/>
  <c r="F352" i="39"/>
  <c r="F353" i="39"/>
  <c r="F354" i="39" s="1"/>
  <c r="F554" i="15"/>
  <c r="E391" i="15" s="1"/>
  <c r="F391" i="15" s="1"/>
  <c r="E557" i="15"/>
  <c r="F557" i="15" s="1"/>
  <c r="F556" i="15"/>
  <c r="F909" i="15"/>
  <c r="F912" i="15"/>
  <c r="F914" i="15" s="1"/>
  <c r="F1335" i="15"/>
  <c r="F1336" i="15" s="1"/>
  <c r="F1337" i="15" s="1"/>
  <c r="F1334" i="15"/>
  <c r="F1493" i="15"/>
  <c r="G1493" i="15" s="1"/>
  <c r="E94" i="69"/>
  <c r="F94" i="69" s="1"/>
  <c r="F331" i="39"/>
  <c r="F751" i="71"/>
  <c r="E756" i="71" s="1"/>
  <c r="F756" i="71" s="1"/>
  <c r="F1007" i="71"/>
  <c r="E1012" i="71" s="1"/>
  <c r="F1012" i="71" s="1"/>
  <c r="C67" i="69"/>
  <c r="G703" i="70"/>
  <c r="G704" i="70" s="1"/>
  <c r="G548" i="70"/>
  <c r="G549" i="70" s="1"/>
  <c r="G550" i="70" s="1"/>
  <c r="G339" i="70"/>
  <c r="G340" i="70" s="1"/>
  <c r="G341" i="70" s="1"/>
  <c r="C56" i="69" s="1"/>
  <c r="C33" i="69"/>
  <c r="C225" i="70"/>
  <c r="E225" i="70" s="1"/>
  <c r="G175" i="70"/>
  <c r="G176" i="70" s="1"/>
  <c r="G177" i="70" s="1"/>
  <c r="G159" i="70"/>
  <c r="G160" i="70" s="1"/>
  <c r="G161" i="70" s="1"/>
  <c r="C38" i="69"/>
  <c r="C224" i="70"/>
  <c r="E224" i="70" s="1"/>
  <c r="C28" i="69"/>
  <c r="C223" i="70"/>
  <c r="E223" i="70" s="1"/>
  <c r="C22" i="69"/>
  <c r="C212" i="70"/>
  <c r="E212" i="70" s="1"/>
  <c r="G40" i="70"/>
  <c r="G41" i="70" s="1"/>
  <c r="G42" i="70" s="1"/>
  <c r="C9" i="69" s="1"/>
  <c r="C26" i="67"/>
  <c r="C146" i="68"/>
  <c r="E146" i="68" s="1"/>
  <c r="C24" i="67"/>
  <c r="C144" i="68"/>
  <c r="E144" i="68" s="1"/>
  <c r="G25" i="68"/>
  <c r="G26" i="68" s="1"/>
  <c r="G27" i="68" s="1"/>
  <c r="C5" i="67" s="1"/>
  <c r="C1497" i="15"/>
  <c r="E1497" i="15" s="1"/>
  <c r="F846" i="15"/>
  <c r="F750" i="15"/>
  <c r="C1446" i="15"/>
  <c r="E1446" i="15" s="1"/>
  <c r="F1442" i="15"/>
  <c r="G1442" i="15" s="1"/>
  <c r="G750" i="70"/>
  <c r="G751" i="70" s="1"/>
  <c r="C70" i="69"/>
  <c r="G692" i="70"/>
  <c r="C43" i="69"/>
  <c r="C216" i="70"/>
  <c r="E216" i="70" s="1"/>
  <c r="C27" i="69"/>
  <c r="C213" i="70"/>
  <c r="E213" i="70" s="1"/>
  <c r="C26" i="69"/>
  <c r="C203" i="70"/>
  <c r="E203" i="70" s="1"/>
  <c r="C21" i="69"/>
  <c r="C201" i="70"/>
  <c r="E201" i="70" s="1"/>
  <c r="C200" i="70"/>
  <c r="E200" i="70" s="1"/>
  <c r="C16" i="69"/>
  <c r="C198" i="70"/>
  <c r="E198" i="70" s="1"/>
  <c r="C15" i="69"/>
  <c r="F234" i="71"/>
  <c r="F235" i="71" s="1"/>
  <c r="F236" i="71" s="1"/>
  <c r="F237" i="71" s="1"/>
  <c r="F142" i="71"/>
  <c r="F143" i="71" s="1"/>
  <c r="F144" i="71" s="1"/>
  <c r="F145" i="71" s="1"/>
  <c r="C102" i="69"/>
  <c r="F102" i="69" s="1"/>
  <c r="C104" i="69"/>
  <c r="F104" i="69" s="1"/>
  <c r="G733" i="70"/>
  <c r="G734" i="70" s="1"/>
  <c r="G735" i="70" s="1"/>
  <c r="C100" i="69" s="1"/>
  <c r="C66" i="69"/>
  <c r="G700" i="70"/>
  <c r="G701" i="70" s="1"/>
  <c r="C42" i="69"/>
  <c r="C206" i="70"/>
  <c r="E206" i="70" s="1"/>
  <c r="C37" i="69"/>
  <c r="C214" i="70"/>
  <c r="E214" i="70" s="1"/>
  <c r="C204" i="70"/>
  <c r="E204" i="70" s="1"/>
  <c r="C36" i="69"/>
  <c r="G94" i="70"/>
  <c r="G95" i="70" s="1"/>
  <c r="G96" i="70" s="1"/>
  <c r="G92" i="70"/>
  <c r="G93" i="70" s="1"/>
  <c r="G375" i="68"/>
  <c r="C44" i="67"/>
  <c r="G337" i="68"/>
  <c r="G338" i="68" s="1"/>
  <c r="G339" i="68" s="1"/>
  <c r="G296" i="68"/>
  <c r="G297" i="68" s="1"/>
  <c r="G298" i="68" s="1"/>
  <c r="C147" i="68"/>
  <c r="E147" i="68" s="1"/>
  <c r="C30" i="67"/>
  <c r="C28" i="67"/>
  <c r="C145" i="68"/>
  <c r="E145" i="68" s="1"/>
  <c r="C138" i="68"/>
  <c r="E138" i="68" s="1"/>
  <c r="C16" i="67"/>
  <c r="F810" i="15"/>
  <c r="F811" i="15" s="1"/>
  <c r="F1039" i="15"/>
  <c r="F121" i="71"/>
  <c r="F1207" i="71"/>
  <c r="F1208" i="71" s="1"/>
  <c r="F1209" i="71" s="1"/>
  <c r="E10" i="41"/>
  <c r="F10" i="41" s="1"/>
  <c r="C90" i="69"/>
  <c r="C93" i="69"/>
  <c r="G672" i="70"/>
  <c r="G673" i="70"/>
  <c r="G513" i="70"/>
  <c r="G515" i="70" s="1"/>
  <c r="G516" i="70" s="1"/>
  <c r="G517" i="70" s="1"/>
  <c r="C62" i="69" s="1"/>
  <c r="G460" i="70"/>
  <c r="G461" i="70" s="1"/>
  <c r="G462" i="70" s="1"/>
  <c r="C222" i="70"/>
  <c r="E222" i="70" s="1"/>
  <c r="E226" i="70" s="1"/>
  <c r="E227" i="70" s="1"/>
  <c r="C52" i="69" s="1"/>
  <c r="C23" i="69"/>
  <c r="C17" i="69"/>
  <c r="F17" i="69" s="1"/>
  <c r="C202" i="70"/>
  <c r="E202" i="70" s="1"/>
  <c r="G26" i="70"/>
  <c r="G27" i="70" s="1"/>
  <c r="G28" i="70" s="1"/>
  <c r="C5" i="69" s="1"/>
  <c r="C18" i="67"/>
  <c r="F18" i="67" s="1"/>
  <c r="C141" i="68"/>
  <c r="E141" i="68" s="1"/>
  <c r="C17" i="67"/>
  <c r="C140" i="68"/>
  <c r="E140" i="68" s="1"/>
  <c r="G11" i="68"/>
  <c r="G12" i="68" s="1"/>
  <c r="C3" i="67" s="1"/>
  <c r="C7" i="67" s="1"/>
  <c r="E7" i="40"/>
  <c r="F7" i="40" s="1"/>
  <c r="G1230" i="57"/>
  <c r="G1231" i="57" s="1"/>
  <c r="G1232" i="57" s="1"/>
  <c r="C102" i="58" s="1"/>
  <c r="C116" i="64" s="1"/>
  <c r="G1148" i="57"/>
  <c r="G1149" i="57" s="1"/>
  <c r="C99" i="58" s="1"/>
  <c r="C113" i="64" s="1"/>
  <c r="F113" i="64" s="1"/>
  <c r="G1151" i="57"/>
  <c r="G1152" i="57" s="1"/>
  <c r="G1153" i="57" s="1"/>
  <c r="C100" i="58" s="1"/>
  <c r="C114" i="64" s="1"/>
  <c r="F114" i="64" s="1"/>
  <c r="G1123" i="57"/>
  <c r="G1124" i="57" s="1"/>
  <c r="G1125" i="57" s="1"/>
  <c r="C72" i="58" s="1"/>
  <c r="G1095" i="57"/>
  <c r="G1096" i="57" s="1"/>
  <c r="G1097" i="57" s="1"/>
  <c r="G848" i="57"/>
  <c r="G849" i="57" s="1"/>
  <c r="G850" i="57" s="1"/>
  <c r="C91" i="58" s="1"/>
  <c r="C105" i="64" s="1"/>
  <c r="C80" i="58"/>
  <c r="C88" i="64" s="1"/>
  <c r="C43" i="58"/>
  <c r="C50" i="64" s="1"/>
  <c r="C611" i="57"/>
  <c r="E611" i="57" s="1"/>
  <c r="C38" i="58"/>
  <c r="C46" i="64" s="1"/>
  <c r="C620" i="57"/>
  <c r="E620" i="57" s="1"/>
  <c r="C22" i="58"/>
  <c r="C30" i="64" s="1"/>
  <c r="C606" i="57"/>
  <c r="E606" i="57" s="1"/>
  <c r="C17" i="58"/>
  <c r="C25" i="64" s="1"/>
  <c r="C605" i="57"/>
  <c r="E605" i="57" s="1"/>
  <c r="C16" i="58"/>
  <c r="C24" i="64" s="1"/>
  <c r="C603" i="57"/>
  <c r="E603" i="57" s="1"/>
  <c r="F93" i="69"/>
  <c r="G1300" i="57"/>
  <c r="G1302" i="57" s="1"/>
  <c r="G1303" i="57" s="1"/>
  <c r="G1304" i="57" s="1"/>
  <c r="G1305" i="57" s="1"/>
  <c r="G1306" i="57" s="1"/>
  <c r="C112" i="58" s="1"/>
  <c r="C126" i="64" s="1"/>
  <c r="F126" i="64" s="1"/>
  <c r="G989" i="57"/>
  <c r="G1003" i="57" s="1"/>
  <c r="G1004" i="57" s="1"/>
  <c r="G1005" i="57" s="1"/>
  <c r="G933" i="57"/>
  <c r="G945" i="57" s="1"/>
  <c r="G946" i="57" s="1"/>
  <c r="G947" i="57" s="1"/>
  <c r="C62" i="58" s="1"/>
  <c r="G863" i="57"/>
  <c r="G864" i="57" s="1"/>
  <c r="G865" i="57" s="1"/>
  <c r="C92" i="58" s="1"/>
  <c r="C106" i="64" s="1"/>
  <c r="G821" i="57"/>
  <c r="G822" i="57" s="1"/>
  <c r="G823" i="57" s="1"/>
  <c r="C85" i="58" s="1"/>
  <c r="C93" i="64" s="1"/>
  <c r="C34" i="58"/>
  <c r="C42" i="64" s="1"/>
  <c r="C632" i="57"/>
  <c r="E632" i="57" s="1"/>
  <c r="C32" i="58"/>
  <c r="C40" i="64" s="1"/>
  <c r="C610" i="57"/>
  <c r="E610" i="57" s="1"/>
  <c r="C39" i="58"/>
  <c r="C47" i="64" s="1"/>
  <c r="C631" i="57"/>
  <c r="E631" i="57" s="1"/>
  <c r="C37" i="58"/>
  <c r="C45" i="64" s="1"/>
  <c r="C609" i="57"/>
  <c r="E609" i="57" s="1"/>
  <c r="G497" i="57"/>
  <c r="G498" i="57" s="1"/>
  <c r="G499" i="57" s="1"/>
  <c r="F702" i="15"/>
  <c r="F308" i="39"/>
  <c r="F311" i="39" s="1"/>
  <c r="G82" i="68"/>
  <c r="F18" i="63"/>
  <c r="H42" i="55"/>
  <c r="G1245" i="57"/>
  <c r="G1247" i="57" s="1"/>
  <c r="G1248" i="57" s="1"/>
  <c r="G1249" i="57" s="1"/>
  <c r="C96" i="58" s="1"/>
  <c r="G1200" i="57"/>
  <c r="G1201" i="57" s="1"/>
  <c r="G1202" i="57" s="1"/>
  <c r="G1181" i="57" s="1"/>
  <c r="G1161" i="57"/>
  <c r="G1169" i="57" s="1"/>
  <c r="G1170" i="57" s="1"/>
  <c r="G1171" i="57" s="1"/>
  <c r="G1172" i="57" s="1"/>
  <c r="C94" i="58" s="1"/>
  <c r="C108" i="64" s="1"/>
  <c r="G898" i="57"/>
  <c r="G912" i="57" s="1"/>
  <c r="G913" i="57" s="1"/>
  <c r="G914" i="57" s="1"/>
  <c r="G795" i="57"/>
  <c r="G796" i="57" s="1"/>
  <c r="G797" i="57" s="1"/>
  <c r="C81" i="58" s="1"/>
  <c r="C89" i="64" s="1"/>
  <c r="G647" i="57"/>
  <c r="G648" i="57" s="1"/>
  <c r="G649" i="57" s="1"/>
  <c r="C11" i="58" s="1"/>
  <c r="C19" i="64" s="1"/>
  <c r="C23" i="58"/>
  <c r="C31" i="64" s="1"/>
  <c r="C618" i="57"/>
  <c r="E618" i="57" s="1"/>
  <c r="G1028" i="57"/>
  <c r="G1040" i="57" s="1"/>
  <c r="G1041" i="57" s="1"/>
  <c r="G1042" i="57" s="1"/>
  <c r="C67" i="58" s="1"/>
  <c r="C74" i="64" s="1"/>
  <c r="G809" i="57"/>
  <c r="G810" i="57" s="1"/>
  <c r="G811" i="57" s="1"/>
  <c r="C84" i="58" s="1"/>
  <c r="C92" i="64" s="1"/>
  <c r="C44" i="58"/>
  <c r="C622" i="57"/>
  <c r="E622" i="57" s="1"/>
  <c r="C33" i="58"/>
  <c r="C41" i="64" s="1"/>
  <c r="C621" i="57"/>
  <c r="E621" i="57" s="1"/>
  <c r="C28" i="58"/>
  <c r="C36" i="64" s="1"/>
  <c r="C619" i="57"/>
  <c r="E619" i="57" s="1"/>
  <c r="C27" i="58"/>
  <c r="C608" i="57"/>
  <c r="E608" i="57" s="1"/>
  <c r="C24" i="58"/>
  <c r="C32" i="64" s="1"/>
  <c r="C629" i="57"/>
  <c r="E629" i="57" s="1"/>
  <c r="C18" i="58"/>
  <c r="C26" i="64" s="1"/>
  <c r="F26" i="64" s="1"/>
  <c r="C607" i="57"/>
  <c r="E607" i="57" s="1"/>
  <c r="G1044" i="57"/>
  <c r="G1047" i="57" s="1"/>
  <c r="G1052" i="57" s="1"/>
  <c r="G1053" i="57" s="1"/>
  <c r="G1054" i="57" s="1"/>
  <c r="C68" i="58" s="1"/>
  <c r="G232" i="57"/>
  <c r="G233" i="57" s="1"/>
  <c r="G234" i="57" s="1"/>
  <c r="C9" i="58" s="1"/>
  <c r="C17" i="64" s="1"/>
  <c r="F320" i="71"/>
  <c r="F321" i="71" s="1"/>
  <c r="F60" i="71"/>
  <c r="H139" i="43"/>
  <c r="C71" i="42" s="1"/>
  <c r="C58" i="42"/>
  <c r="H80" i="43"/>
  <c r="E18" i="41"/>
  <c r="F18" i="41" s="1"/>
  <c r="E19" i="40"/>
  <c r="F19" i="40" s="1"/>
  <c r="G355" i="57"/>
  <c r="G357" i="57" s="1"/>
  <c r="F1509" i="71"/>
  <c r="F1510" i="71"/>
  <c r="F1511" i="71"/>
  <c r="F1512" i="71" s="1"/>
  <c r="F1513" i="71" s="1"/>
  <c r="F1520" i="71" s="1"/>
  <c r="F1522" i="71" s="1"/>
  <c r="H121" i="43"/>
  <c r="E16" i="41"/>
  <c r="F16" i="41" s="1"/>
  <c r="E17" i="40"/>
  <c r="F17" i="40" s="1"/>
  <c r="G138" i="57"/>
  <c r="G139" i="57" s="1"/>
  <c r="G140" i="57" s="1"/>
  <c r="C5" i="58" s="1"/>
  <c r="G45" i="57"/>
  <c r="G46" i="57" s="1"/>
  <c r="C3" i="58" s="1"/>
  <c r="F1372" i="71"/>
  <c r="F542" i="71"/>
  <c r="F543" i="71" s="1"/>
  <c r="F288" i="71"/>
  <c r="F289" i="71" s="1"/>
  <c r="H97" i="43"/>
  <c r="E1039" i="71"/>
  <c r="F1039" i="71" s="1"/>
  <c r="F1040" i="71" s="1"/>
  <c r="E1025" i="71"/>
  <c r="F1025" i="71" s="1"/>
  <c r="E998" i="71"/>
  <c r="F998" i="71" s="1"/>
  <c r="E993" i="71"/>
  <c r="F993" i="71" s="1"/>
  <c r="F994" i="71" s="1"/>
  <c r="F995" i="71" s="1"/>
  <c r="F968" i="71"/>
  <c r="F966" i="71"/>
  <c r="F969" i="71" s="1"/>
  <c r="F770" i="71"/>
  <c r="F771" i="71" s="1"/>
  <c r="F772" i="71" s="1"/>
  <c r="F32" i="42"/>
  <c r="G94" i="36"/>
  <c r="F836" i="39"/>
  <c r="F847" i="39" s="1"/>
  <c r="F848" i="39" s="1"/>
  <c r="F795" i="39"/>
  <c r="F751" i="39"/>
  <c r="F752" i="39"/>
  <c r="E622" i="39"/>
  <c r="F383" i="39"/>
  <c r="F81" i="39"/>
  <c r="F73" i="39"/>
  <c r="F89" i="39" s="1"/>
  <c r="F90" i="39" s="1"/>
  <c r="F1269" i="15"/>
  <c r="E1102" i="15"/>
  <c r="F1102" i="15" s="1"/>
  <c r="F1103" i="15" s="1"/>
  <c r="F1088" i="15"/>
  <c r="E1003" i="15"/>
  <c r="F1003" i="15" s="1"/>
  <c r="C120" i="64"/>
  <c r="C79" i="64"/>
  <c r="F1291" i="71"/>
  <c r="F151" i="71"/>
  <c r="F157" i="71" s="1"/>
  <c r="H73" i="43"/>
  <c r="H74" i="43" s="1"/>
  <c r="C34" i="42" s="1"/>
  <c r="F54" i="42"/>
  <c r="F28" i="42"/>
  <c r="G106" i="36"/>
  <c r="F800" i="39"/>
  <c r="F388" i="39"/>
  <c r="F365" i="39"/>
  <c r="F374" i="39" s="1"/>
  <c r="F375" i="39" s="1"/>
  <c r="F101" i="39"/>
  <c r="F102" i="39"/>
  <c r="H32" i="20"/>
  <c r="F971" i="15"/>
  <c r="C110" i="64"/>
  <c r="F46" i="42"/>
  <c r="E17" i="35"/>
  <c r="F17" i="35" s="1"/>
  <c r="E18" i="35" s="1"/>
  <c r="F18" i="35" s="1"/>
  <c r="F22" i="35" s="1"/>
  <c r="F758" i="39"/>
  <c r="F759" i="39" s="1"/>
  <c r="F515" i="39"/>
  <c r="F512" i="39"/>
  <c r="F419" i="39"/>
  <c r="F428" i="39" s="1"/>
  <c r="F429" i="39" s="1"/>
  <c r="F420" i="39"/>
  <c r="F392" i="39"/>
  <c r="F393" i="39" s="1"/>
  <c r="F259" i="39"/>
  <c r="F257" i="39"/>
  <c r="F261" i="39" s="1"/>
  <c r="F263" i="39" s="1"/>
  <c r="F258" i="39"/>
  <c r="E1044" i="15"/>
  <c r="F1044" i="15" s="1"/>
  <c r="F1043" i="15"/>
  <c r="F99" i="58"/>
  <c r="C75" i="64"/>
  <c r="C69" i="64"/>
  <c r="C51" i="64"/>
  <c r="F1152" i="71"/>
  <c r="F1153" i="71" s="1"/>
  <c r="E875" i="71"/>
  <c r="F817" i="71"/>
  <c r="F818" i="71" s="1"/>
  <c r="F819" i="71" s="1"/>
  <c r="F823" i="71" s="1"/>
  <c r="F824" i="71" s="1"/>
  <c r="E679" i="71"/>
  <c r="F679" i="71" s="1"/>
  <c r="E684" i="71" s="1"/>
  <c r="F684" i="71" s="1"/>
  <c r="E7" i="71"/>
  <c r="F7" i="71" s="1"/>
  <c r="E9" i="71" s="1"/>
  <c r="F9" i="71" s="1"/>
  <c r="H25" i="43"/>
  <c r="C13" i="42" s="1"/>
  <c r="H11" i="43"/>
  <c r="C11" i="42" s="1"/>
  <c r="C15" i="42" s="1"/>
  <c r="F64" i="42"/>
  <c r="G23" i="36"/>
  <c r="C73" i="36" s="1"/>
  <c r="E73" i="36" s="1"/>
  <c r="E81" i="36" s="1"/>
  <c r="E82" i="36" s="1"/>
  <c r="F773" i="39"/>
  <c r="F780" i="39" s="1"/>
  <c r="F781" i="39" s="1"/>
  <c r="F514" i="39"/>
  <c r="F517" i="39"/>
  <c r="F518" i="39" s="1"/>
  <c r="F243" i="39"/>
  <c r="F247" i="39" s="1"/>
  <c r="F244" i="39"/>
  <c r="F74" i="39"/>
  <c r="F1357" i="15"/>
  <c r="F1358" i="15" s="1"/>
  <c r="F1364" i="15" s="1"/>
  <c r="F1365" i="15" s="1"/>
  <c r="F1377" i="15" s="1"/>
  <c r="E1295" i="15"/>
  <c r="F1295" i="15" s="1"/>
  <c r="F7" i="42"/>
  <c r="F194" i="39"/>
  <c r="F100" i="39"/>
  <c r="F103" i="39" s="1"/>
  <c r="F104" i="39" s="1"/>
  <c r="F106" i="39" s="1"/>
  <c r="F54" i="39"/>
  <c r="F1375" i="15"/>
  <c r="F1376" i="15" s="1"/>
  <c r="F773" i="15"/>
  <c r="F774" i="15" s="1"/>
  <c r="F200" i="15"/>
  <c r="F201" i="15" s="1"/>
  <c r="E140" i="15"/>
  <c r="F140" i="15" s="1"/>
  <c r="F145" i="15" s="1"/>
  <c r="F146" i="15" s="1"/>
  <c r="F147" i="15" s="1"/>
  <c r="F148" i="15" s="1"/>
  <c r="H8" i="16"/>
  <c r="E67" i="15"/>
  <c r="F67" i="15" s="1"/>
  <c r="F71" i="15" s="1"/>
  <c r="F72" i="15" s="1"/>
  <c r="F73" i="15" s="1"/>
  <c r="F74" i="15" s="1"/>
  <c r="F25" i="42"/>
  <c r="F446" i="39"/>
  <c r="F447" i="39" s="1"/>
  <c r="F370" i="39"/>
  <c r="F226" i="39"/>
  <c r="E611" i="15"/>
  <c r="F611" i="15" s="1"/>
  <c r="F615" i="15" s="1"/>
  <c r="F291" i="15"/>
  <c r="F292" i="15" s="1"/>
  <c r="E70" i="15"/>
  <c r="F70" i="15" s="1"/>
  <c r="E103" i="15"/>
  <c r="F103" i="15" s="1"/>
  <c r="E123" i="15"/>
  <c r="F123" i="15" s="1"/>
  <c r="E144" i="15"/>
  <c r="F144" i="15" s="1"/>
  <c r="E360" i="15"/>
  <c r="F360" i="15" s="1"/>
  <c r="E850" i="15"/>
  <c r="F850" i="15" s="1"/>
  <c r="H29" i="16"/>
  <c r="E167" i="15"/>
  <c r="F167" i="15" s="1"/>
  <c r="E614" i="15"/>
  <c r="F614" i="15" s="1"/>
  <c r="E644" i="15"/>
  <c r="F644" i="15" s="1"/>
  <c r="E675" i="15"/>
  <c r="F675" i="15" s="1"/>
  <c r="E873" i="15"/>
  <c r="F873" i="15" s="1"/>
  <c r="E940" i="15"/>
  <c r="F940" i="15" s="1"/>
  <c r="F941" i="15" s="1"/>
  <c r="F942" i="15" s="1"/>
  <c r="F943" i="15" s="1"/>
  <c r="F944" i="15" s="1"/>
  <c r="E166" i="15"/>
  <c r="F166" i="15" s="1"/>
  <c r="F168" i="15" s="1"/>
  <c r="F169" i="15" s="1"/>
  <c r="E613" i="15"/>
  <c r="F613" i="15" s="1"/>
  <c r="E643" i="15"/>
  <c r="F643" i="15" s="1"/>
  <c r="E674" i="15"/>
  <c r="F674" i="15" s="1"/>
  <c r="F676" i="15" s="1"/>
  <c r="F677" i="15" s="1"/>
  <c r="F678" i="15" s="1"/>
  <c r="H20" i="16"/>
  <c r="E69" i="15"/>
  <c r="F69" i="15" s="1"/>
  <c r="E102" i="15"/>
  <c r="F102" i="15" s="1"/>
  <c r="E122" i="15"/>
  <c r="F122" i="15" s="1"/>
  <c r="E143" i="15"/>
  <c r="F143" i="15" s="1"/>
  <c r="E359" i="15"/>
  <c r="F359" i="15" s="1"/>
  <c r="E827" i="15"/>
  <c r="F827" i="15" s="1"/>
  <c r="F828" i="15" s="1"/>
  <c r="F829" i="15" s="1"/>
  <c r="F830" i="15" s="1"/>
  <c r="F831" i="15" s="1"/>
  <c r="F832" i="15" s="1"/>
  <c r="E849" i="15"/>
  <c r="F849" i="15" s="1"/>
  <c r="F851" i="15" s="1"/>
  <c r="E972" i="15"/>
  <c r="F972" i="15" s="1"/>
  <c r="E1042" i="15"/>
  <c r="F1042" i="15" s="1"/>
  <c r="F1045" i="15" s="1"/>
  <c r="E1268" i="15"/>
  <c r="F1268" i="15" s="1"/>
  <c r="E1293" i="15"/>
  <c r="F1293" i="15" s="1"/>
  <c r="F1296" i="15" s="1"/>
  <c r="F1297" i="15" s="1"/>
  <c r="E1401" i="15"/>
  <c r="G1401" i="15" s="1"/>
  <c r="G1404" i="15" s="1"/>
  <c r="G1405" i="15" s="1"/>
  <c r="G1406" i="15" s="1"/>
  <c r="G1407" i="15" s="1"/>
  <c r="G1408" i="15" s="1"/>
  <c r="E1433" i="15"/>
  <c r="G1433" i="15" s="1"/>
  <c r="G1435" i="15" s="1"/>
  <c r="G1436" i="15" s="1"/>
  <c r="G1437" i="15" s="1"/>
  <c r="G1438" i="15" s="1"/>
  <c r="G1439" i="15" s="1"/>
  <c r="G1443" i="15" s="1"/>
  <c r="E1481" i="15"/>
  <c r="G1481" i="15" s="1"/>
  <c r="G1483" i="15" s="1"/>
  <c r="G1484" i="15" s="1"/>
  <c r="G1485" i="15" s="1"/>
  <c r="G1486" i="15" s="1"/>
  <c r="E14" i="39"/>
  <c r="F14" i="39" s="1"/>
  <c r="E101" i="15"/>
  <c r="F101" i="15" s="1"/>
  <c r="F104" i="15" s="1"/>
  <c r="F105" i="15" s="1"/>
  <c r="F106" i="15" s="1"/>
  <c r="F107" i="15" s="1"/>
  <c r="E121" i="15"/>
  <c r="F121" i="15" s="1"/>
  <c r="F124" i="15" s="1"/>
  <c r="F125" i="15" s="1"/>
  <c r="F126" i="15" s="1"/>
  <c r="F127" i="15" s="1"/>
  <c r="H5" i="16"/>
  <c r="E682" i="15"/>
  <c r="F230" i="15"/>
  <c r="F231" i="15" s="1"/>
  <c r="E236" i="15" s="1"/>
  <c r="F236" i="15" s="1"/>
  <c r="E205" i="15"/>
  <c r="F205" i="15" s="1"/>
  <c r="H31" i="16"/>
  <c r="E142" i="15"/>
  <c r="F142" i="15" s="1"/>
  <c r="E358" i="15"/>
  <c r="F358" i="15" s="1"/>
  <c r="F361" i="15" s="1"/>
  <c r="H11" i="16"/>
  <c r="E880" i="15"/>
  <c r="E79" i="15"/>
  <c r="F332" i="15"/>
  <c r="F333" i="15" s="1"/>
  <c r="F1497" i="15"/>
  <c r="G1497" i="15"/>
  <c r="F915" i="15"/>
  <c r="F917" i="15"/>
  <c r="F919" i="15" s="1"/>
  <c r="F920" i="15" s="1"/>
  <c r="F1410" i="71"/>
  <c r="G1410" i="71"/>
  <c r="G1432" i="71"/>
  <c r="G1433" i="71" s="1"/>
  <c r="G1434" i="71" s="1"/>
  <c r="E29" i="41"/>
  <c r="F29" i="41" s="1"/>
  <c r="E30" i="40"/>
  <c r="F30" i="40" s="1"/>
  <c r="F238" i="71"/>
  <c r="E461" i="71"/>
  <c r="F461" i="71" s="1"/>
  <c r="E241" i="71"/>
  <c r="F241" i="71" s="1"/>
  <c r="F240" i="71"/>
  <c r="E25" i="41"/>
  <c r="F25" i="41" s="1"/>
  <c r="E26" i="40"/>
  <c r="F26" i="40" s="1"/>
  <c r="F848" i="71"/>
  <c r="F849" i="71" s="1"/>
  <c r="E91" i="58"/>
  <c r="F91" i="58" s="1"/>
  <c r="E85" i="69"/>
  <c r="F85" i="69" s="1"/>
  <c r="E59" i="67"/>
  <c r="F59" i="67" s="1"/>
  <c r="E105" i="64"/>
  <c r="F105" i="64" s="1"/>
  <c r="E92" i="52"/>
  <c r="F92" i="52" s="1"/>
  <c r="G1490" i="15"/>
  <c r="F580" i="71"/>
  <c r="F581" i="71" s="1"/>
  <c r="F947" i="71"/>
  <c r="F949" i="71" s="1"/>
  <c r="F950" i="71" s="1"/>
  <c r="F945" i="71"/>
  <c r="F1310" i="71"/>
  <c r="F1311" i="71" s="1"/>
  <c r="F1312" i="71" s="1"/>
  <c r="E97" i="52"/>
  <c r="F97" i="52" s="1"/>
  <c r="E90" i="69"/>
  <c r="F90" i="69" s="1"/>
  <c r="E63" i="67"/>
  <c r="F63" i="67" s="1"/>
  <c r="E96" i="58"/>
  <c r="F96" i="58" s="1"/>
  <c r="E110" i="64"/>
  <c r="F110" i="64" s="1"/>
  <c r="F751" i="15"/>
  <c r="F752" i="15" s="1"/>
  <c r="F907" i="71"/>
  <c r="F904" i="71"/>
  <c r="F210" i="71"/>
  <c r="E211" i="71"/>
  <c r="F211" i="71" s="1"/>
  <c r="F208" i="71"/>
  <c r="F1185" i="71"/>
  <c r="F1186" i="71" s="1"/>
  <c r="F1184" i="71"/>
  <c r="F705" i="71"/>
  <c r="F707" i="71" s="1"/>
  <c r="F703" i="71"/>
  <c r="F584" i="15"/>
  <c r="F583" i="15"/>
  <c r="F1215" i="15"/>
  <c r="F1217" i="15"/>
  <c r="F1219" i="15" s="1"/>
  <c r="F723" i="71"/>
  <c r="F724" i="71" s="1"/>
  <c r="F1159" i="15"/>
  <c r="F1160" i="15"/>
  <c r="F1161" i="15" s="1"/>
  <c r="F643" i="71"/>
  <c r="F644" i="71" s="1"/>
  <c r="F645" i="71" s="1"/>
  <c r="F648" i="71" s="1"/>
  <c r="F43" i="15"/>
  <c r="F44" i="15" s="1"/>
  <c r="F45" i="15" s="1"/>
  <c r="F1233" i="71"/>
  <c r="F1234" i="71"/>
  <c r="F1329" i="15"/>
  <c r="F1330" i="15" s="1"/>
  <c r="F1331" i="15" s="1"/>
  <c r="E11" i="40"/>
  <c r="F11" i="40" s="1"/>
  <c r="E11" i="41"/>
  <c r="F11" i="41" s="1"/>
  <c r="E11" i="15"/>
  <c r="F11" i="15" s="1"/>
  <c r="F10" i="15"/>
  <c r="F146" i="39"/>
  <c r="F147" i="39" s="1"/>
  <c r="F145" i="39"/>
  <c r="F313" i="39"/>
  <c r="F314" i="39" s="1"/>
  <c r="F312" i="39"/>
  <c r="F467" i="39"/>
  <c r="F468" i="39" s="1"/>
  <c r="F466" i="39"/>
  <c r="F501" i="39"/>
  <c r="F502" i="39"/>
  <c r="F503" i="39" s="1"/>
  <c r="F264" i="71"/>
  <c r="F265" i="71" s="1"/>
  <c r="F1446" i="15"/>
  <c r="G1446" i="15" s="1"/>
  <c r="F1051" i="71"/>
  <c r="F1053" i="71" s="1"/>
  <c r="F1058" i="71"/>
  <c r="F1052" i="71"/>
  <c r="F1116" i="15"/>
  <c r="F1115" i="15"/>
  <c r="F1117" i="15" s="1"/>
  <c r="F1122" i="15"/>
  <c r="G1473" i="71"/>
  <c r="G1478" i="71"/>
  <c r="C1437" i="71"/>
  <c r="J1424" i="71"/>
  <c r="G1323" i="71"/>
  <c r="E1330" i="71" s="1"/>
  <c r="E1318" i="71"/>
  <c r="F1318" i="71" s="1"/>
  <c r="F1154" i="71"/>
  <c r="F1155" i="71" s="1"/>
  <c r="F1156" i="71" s="1"/>
  <c r="F123" i="71"/>
  <c r="F124" i="71" s="1"/>
  <c r="F122" i="71"/>
  <c r="E8" i="41"/>
  <c r="F8" i="41" s="1"/>
  <c r="E8" i="40"/>
  <c r="F8" i="40" s="1"/>
  <c r="F186" i="15"/>
  <c r="F179" i="15"/>
  <c r="F180" i="15" s="1"/>
  <c r="F1240" i="15"/>
  <c r="F1242" i="15"/>
  <c r="F1244" i="15" s="1"/>
  <c r="F1245" i="15" s="1"/>
  <c r="F1248" i="15" s="1"/>
  <c r="F1250" i="15" s="1"/>
  <c r="F1251" i="15" s="1"/>
  <c r="F800" i="71"/>
  <c r="E804" i="71"/>
  <c r="F804" i="71" s="1"/>
  <c r="F1057" i="15"/>
  <c r="F1063" i="15"/>
  <c r="F1056" i="15"/>
  <c r="F1058" i="15"/>
  <c r="E1484" i="71"/>
  <c r="C1488" i="71" s="1"/>
  <c r="G1393" i="71"/>
  <c r="G1399" i="71" s="1"/>
  <c r="G1400" i="71" s="1"/>
  <c r="F1374" i="71"/>
  <c r="F1375" i="71"/>
  <c r="F1373" i="71"/>
  <c r="F101" i="71"/>
  <c r="F265" i="15"/>
  <c r="F266" i="15" s="1"/>
  <c r="F1451" i="71"/>
  <c r="F1282" i="71"/>
  <c r="E607" i="71"/>
  <c r="F607" i="71" s="1"/>
  <c r="F612" i="71" s="1"/>
  <c r="E1253" i="71"/>
  <c r="F1253" i="71" s="1"/>
  <c r="F1026" i="71"/>
  <c r="E861" i="71"/>
  <c r="F861" i="71" s="1"/>
  <c r="F862" i="71" s="1"/>
  <c r="F863" i="71" s="1"/>
  <c r="F869" i="71" s="1"/>
  <c r="E668" i="71"/>
  <c r="F668" i="71" s="1"/>
  <c r="F673" i="71" s="1"/>
  <c r="E649" i="71"/>
  <c r="F45" i="39"/>
  <c r="C1411" i="15"/>
  <c r="E998" i="15"/>
  <c r="F998" i="15" s="1"/>
  <c r="F999" i="15" s="1"/>
  <c r="F1000" i="15" s="1"/>
  <c r="F1006" i="15" s="1"/>
  <c r="F793" i="15"/>
  <c r="F1088" i="71"/>
  <c r="E908" i="71"/>
  <c r="E729" i="71"/>
  <c r="F729" i="71" s="1"/>
  <c r="F731" i="71" s="1"/>
  <c r="F733" i="71" s="1"/>
  <c r="F734" i="71" s="1"/>
  <c r="F745" i="71" s="1"/>
  <c r="E866" i="15"/>
  <c r="F866" i="15" s="1"/>
  <c r="F867" i="15" s="1"/>
  <c r="C11" i="64"/>
  <c r="C35" i="64"/>
  <c r="F616" i="15" l="1"/>
  <c r="F617" i="15" s="1"/>
  <c r="F1378" i="15"/>
  <c r="F1379" i="15"/>
  <c r="F970" i="71"/>
  <c r="F971" i="71" s="1"/>
  <c r="E561" i="39"/>
  <c r="F561" i="39" s="1"/>
  <c r="F562" i="39" s="1"/>
  <c r="E577" i="39"/>
  <c r="F577" i="39" s="1"/>
  <c r="F578" i="39" s="1"/>
  <c r="E569" i="39"/>
  <c r="F569" i="39" s="1"/>
  <c r="F570" i="39" s="1"/>
  <c r="E659" i="39"/>
  <c r="F659" i="39" s="1"/>
  <c r="E88" i="52"/>
  <c r="F88" i="52" s="1"/>
  <c r="E88" i="58"/>
  <c r="F88" i="58" s="1"/>
  <c r="E96" i="64"/>
  <c r="F96" i="64" s="1"/>
  <c r="F170" i="15"/>
  <c r="G169" i="15"/>
  <c r="G171" i="15" s="1"/>
  <c r="G174" i="15" s="1"/>
  <c r="F1298" i="15"/>
  <c r="F1299" i="15"/>
  <c r="F1300" i="15" s="1"/>
  <c r="F681" i="15"/>
  <c r="F679" i="15"/>
  <c r="C7" i="58"/>
  <c r="C14" i="64" s="1"/>
  <c r="C3" i="64"/>
  <c r="G358" i="57"/>
  <c r="G359" i="57" s="1"/>
  <c r="G361" i="57"/>
  <c r="G362" i="57" s="1"/>
  <c r="G363" i="57" s="1"/>
  <c r="E663" i="39"/>
  <c r="F663" i="39" s="1"/>
  <c r="E816" i="39"/>
  <c r="F816" i="39" s="1"/>
  <c r="E819" i="39"/>
  <c r="F819" i="39" s="1"/>
  <c r="E638" i="39"/>
  <c r="F638" i="39" s="1"/>
  <c r="F248" i="39"/>
  <c r="F249" i="39" s="1"/>
  <c r="F250" i="39" s="1"/>
  <c r="F264" i="39"/>
  <c r="F265" i="39"/>
  <c r="F266" i="39" s="1"/>
  <c r="F430" i="39"/>
  <c r="F431" i="39"/>
  <c r="F432" i="39" s="1"/>
  <c r="F880" i="15"/>
  <c r="E885" i="15" s="1"/>
  <c r="F885" i="15" s="1"/>
  <c r="F645" i="15"/>
  <c r="F646" i="15" s="1"/>
  <c r="F647" i="15" s="1"/>
  <c r="F648" i="15" s="1"/>
  <c r="E297" i="15"/>
  <c r="F297" i="15" s="1"/>
  <c r="E296" i="15"/>
  <c r="F296" i="15" s="1"/>
  <c r="F825" i="71"/>
  <c r="F826" i="71" s="1"/>
  <c r="F827" i="71" s="1"/>
  <c r="F394" i="39"/>
  <c r="F395" i="39"/>
  <c r="F396" i="39" s="1"/>
  <c r="F802" i="39"/>
  <c r="F1001" i="71"/>
  <c r="C40" i="42"/>
  <c r="F40" i="42" s="1"/>
  <c r="C42" i="42"/>
  <c r="F42" i="42" s="1"/>
  <c r="C56" i="42"/>
  <c r="H137" i="43"/>
  <c r="C69" i="42" s="1"/>
  <c r="F61" i="71"/>
  <c r="F62" i="71"/>
  <c r="F63" i="71"/>
  <c r="F68" i="71" s="1"/>
  <c r="F69" i="71" s="1"/>
  <c r="F70" i="71" s="1"/>
  <c r="F71" i="71" s="1"/>
  <c r="C61" i="58"/>
  <c r="C68" i="64" s="1"/>
  <c r="G1176" i="57"/>
  <c r="E58" i="42"/>
  <c r="F58" i="42" s="1"/>
  <c r="F703" i="15"/>
  <c r="F704" i="15" s="1"/>
  <c r="F705" i="15" s="1"/>
  <c r="G373" i="68"/>
  <c r="C38" i="67"/>
  <c r="C46" i="69"/>
  <c r="C207" i="70"/>
  <c r="E207" i="70" s="1"/>
  <c r="E22" i="40"/>
  <c r="F22" i="40" s="1"/>
  <c r="E21" i="41"/>
  <c r="F21" i="41" s="1"/>
  <c r="F100" i="58"/>
  <c r="F8" i="71"/>
  <c r="F242" i="71"/>
  <c r="F448" i="39"/>
  <c r="F449" i="39"/>
  <c r="F450" i="39" s="1"/>
  <c r="F875" i="71"/>
  <c r="E880" i="71"/>
  <c r="F880" i="71" s="1"/>
  <c r="F623" i="39"/>
  <c r="F624" i="39"/>
  <c r="E293" i="71"/>
  <c r="F293" i="71" s="1"/>
  <c r="E294" i="71"/>
  <c r="F294" i="71" s="1"/>
  <c r="F1523" i="71"/>
  <c r="F1524" i="71" s="1"/>
  <c r="F1525" i="71" s="1"/>
  <c r="C36" i="42"/>
  <c r="F36" i="42" s="1"/>
  <c r="C38" i="42"/>
  <c r="F38" i="42" s="1"/>
  <c r="E326" i="71"/>
  <c r="F326" i="71" s="1"/>
  <c r="E325" i="71"/>
  <c r="F325" i="71" s="1"/>
  <c r="F20" i="63"/>
  <c r="F21" i="63"/>
  <c r="F23" i="63" s="1"/>
  <c r="F24" i="63" s="1"/>
  <c r="F25" i="63" s="1"/>
  <c r="C29" i="58"/>
  <c r="C37" i="64" s="1"/>
  <c r="C630" i="57"/>
  <c r="E630" i="57" s="1"/>
  <c r="E633" i="57" s="1"/>
  <c r="E634" i="57" s="1"/>
  <c r="C53" i="58" s="1"/>
  <c r="C60" i="64" s="1"/>
  <c r="C66" i="58"/>
  <c r="C73" i="64" s="1"/>
  <c r="G1177" i="57"/>
  <c r="G374" i="68"/>
  <c r="G379" i="68"/>
  <c r="G381" i="68" s="1"/>
  <c r="C50" i="67" s="1"/>
  <c r="C41" i="67"/>
  <c r="C47" i="69"/>
  <c r="C217" i="70"/>
  <c r="E217" i="70" s="1"/>
  <c r="C31" i="69"/>
  <c r="C205" i="70"/>
  <c r="E205" i="70" s="1"/>
  <c r="E88" i="64"/>
  <c r="F88" i="64" s="1"/>
  <c r="E80" i="58"/>
  <c r="F80" i="58" s="1"/>
  <c r="E53" i="67"/>
  <c r="F53" i="67" s="1"/>
  <c r="E80" i="52"/>
  <c r="F80" i="52" s="1"/>
  <c r="E79" i="69"/>
  <c r="F79" i="69" s="1"/>
  <c r="F362" i="15"/>
  <c r="F363" i="15"/>
  <c r="F364" i="15" s="1"/>
  <c r="E235" i="15"/>
  <c r="F235" i="15" s="1"/>
  <c r="F237" i="15" s="1"/>
  <c r="F238" i="15" s="1"/>
  <c r="E206" i="15"/>
  <c r="F206" i="15" s="1"/>
  <c r="F207" i="15"/>
  <c r="F208" i="15" s="1"/>
  <c r="F974" i="15"/>
  <c r="F975" i="15" s="1"/>
  <c r="F976" i="15" s="1"/>
  <c r="F1094" i="15"/>
  <c r="F1096" i="15" s="1"/>
  <c r="F1095" i="15"/>
  <c r="E548" i="71"/>
  <c r="F548" i="71" s="1"/>
  <c r="E547" i="71"/>
  <c r="F547" i="71" s="1"/>
  <c r="F549" i="71" s="1"/>
  <c r="F550" i="71" s="1"/>
  <c r="C142" i="68"/>
  <c r="E142" i="68" s="1"/>
  <c r="C22" i="67"/>
  <c r="C71" i="58"/>
  <c r="C78" i="64" s="1"/>
  <c r="G1178" i="57"/>
  <c r="F1046" i="15"/>
  <c r="F1047" i="15" s="1"/>
  <c r="F1049" i="15" s="1"/>
  <c r="E208" i="70"/>
  <c r="E209" i="70" s="1"/>
  <c r="C50" i="69" s="1"/>
  <c r="F852" i="15"/>
  <c r="F853" i="15" s="1"/>
  <c r="F854" i="15" s="1"/>
  <c r="C32" i="69"/>
  <c r="C215" i="70"/>
  <c r="E215" i="70" s="1"/>
  <c r="G691" i="70"/>
  <c r="G697" i="70"/>
  <c r="G698" i="70" s="1"/>
  <c r="C65" i="69"/>
  <c r="F1338" i="15"/>
  <c r="E42" i="41"/>
  <c r="F42" i="41" s="1"/>
  <c r="F14" i="41"/>
  <c r="F184" i="71"/>
  <c r="F185" i="71" s="1"/>
  <c r="F1270" i="15"/>
  <c r="F1271" i="15" s="1"/>
  <c r="F1272" i="15" s="1"/>
  <c r="F79" i="15"/>
  <c r="E84" i="15" s="1"/>
  <c r="F84" i="15" s="1"/>
  <c r="F682" i="15"/>
  <c r="E687" i="15"/>
  <c r="F687" i="15" s="1"/>
  <c r="F775" i="15"/>
  <c r="F776" i="15" s="1"/>
  <c r="F777" i="15" s="1"/>
  <c r="F519" i="39"/>
  <c r="F520" i="39" s="1"/>
  <c r="F521" i="39" s="1"/>
  <c r="H33" i="20"/>
  <c r="H34" i="20" s="1"/>
  <c r="H35" i="20" s="1"/>
  <c r="H38" i="20" s="1"/>
  <c r="F376" i="39"/>
  <c r="F377" i="39"/>
  <c r="F378" i="39" s="1"/>
  <c r="F159" i="71"/>
  <c r="F158" i="71"/>
  <c r="F160" i="71" s="1"/>
  <c r="F166" i="71" s="1"/>
  <c r="F1104" i="15"/>
  <c r="F1106" i="15" s="1"/>
  <c r="F1107" i="15" s="1"/>
  <c r="F1108" i="15" s="1"/>
  <c r="F1109" i="15" s="1"/>
  <c r="G1182" i="57"/>
  <c r="G1183" i="57" s="1"/>
  <c r="G690" i="70"/>
  <c r="G693" i="70" s="1"/>
  <c r="G694" i="70" s="1"/>
  <c r="C76" i="69" s="1"/>
  <c r="C60" i="69"/>
  <c r="F1212" i="71"/>
  <c r="F1214" i="71" s="1"/>
  <c r="F1210" i="71"/>
  <c r="E148" i="68"/>
  <c r="E149" i="68" s="1"/>
  <c r="C33" i="67" s="1"/>
  <c r="F18" i="58"/>
  <c r="E218" i="70"/>
  <c r="E219" i="70" s="1"/>
  <c r="C51" i="69" s="1"/>
  <c r="E1344" i="15"/>
  <c r="F1344" i="15" s="1"/>
  <c r="F1345" i="15" s="1"/>
  <c r="F1346" i="15" s="1"/>
  <c r="F558" i="15"/>
  <c r="F15" i="40"/>
  <c r="E38" i="40"/>
  <c r="F38" i="40" s="1"/>
  <c r="F947" i="15"/>
  <c r="F949" i="15" s="1"/>
  <c r="E99" i="64"/>
  <c r="F99" i="64" s="1"/>
  <c r="G1447" i="15"/>
  <c r="G1448" i="15" s="1"/>
  <c r="G1444" i="15"/>
  <c r="E591" i="39"/>
  <c r="F591" i="39" s="1"/>
  <c r="E19" i="42"/>
  <c r="F19" i="42" s="1"/>
  <c r="E9" i="67"/>
  <c r="F9" i="67" s="1"/>
  <c r="E9" i="69"/>
  <c r="F9" i="69" s="1"/>
  <c r="E17" i="64"/>
  <c r="F17" i="64" s="1"/>
  <c r="E9" i="52"/>
  <c r="F9" i="52" s="1"/>
  <c r="E9" i="58"/>
  <c r="F9" i="58" s="1"/>
  <c r="F75" i="15"/>
  <c r="F78" i="15" s="1"/>
  <c r="F80" i="15" s="1"/>
  <c r="E502" i="15"/>
  <c r="F502" i="15" s="1"/>
  <c r="E445" i="15"/>
  <c r="F445" i="15" s="1"/>
  <c r="E463" i="15"/>
  <c r="E410" i="15"/>
  <c r="F755" i="15"/>
  <c r="F757" i="15" s="1"/>
  <c r="F753" i="15"/>
  <c r="E337" i="15"/>
  <c r="F337" i="15" s="1"/>
  <c r="F334" i="15"/>
  <c r="E503" i="15" s="1"/>
  <c r="F503" i="15" s="1"/>
  <c r="F336" i="15"/>
  <c r="F338" i="15" s="1"/>
  <c r="F868" i="15"/>
  <c r="F874" i="15" s="1"/>
  <c r="E62" i="42"/>
  <c r="F62" i="42" s="1"/>
  <c r="E823" i="39"/>
  <c r="F823" i="39" s="1"/>
  <c r="F613" i="71"/>
  <c r="F614" i="71" s="1"/>
  <c r="G1401" i="71"/>
  <c r="G1402" i="71" s="1"/>
  <c r="G1403" i="71" s="1"/>
  <c r="G1407" i="71" s="1"/>
  <c r="F269" i="71"/>
  <c r="F266" i="71"/>
  <c r="E443" i="71" s="1"/>
  <c r="F443" i="71" s="1"/>
  <c r="E270" i="71"/>
  <c r="F270" i="71" s="1"/>
  <c r="E13" i="42"/>
  <c r="F13" i="42" s="1"/>
  <c r="E5" i="69"/>
  <c r="F5" i="69" s="1"/>
  <c r="E5" i="58"/>
  <c r="F5" i="58" s="1"/>
  <c r="E817" i="39"/>
  <c r="F817" i="39" s="1"/>
  <c r="E5" i="67"/>
  <c r="F5" i="67" s="1"/>
  <c r="E5" i="52"/>
  <c r="F5" i="52" s="1"/>
  <c r="E11" i="64"/>
  <c r="F11" i="64" s="1"/>
  <c r="E74" i="69"/>
  <c r="F74" i="69" s="1"/>
  <c r="E75" i="58"/>
  <c r="F75" i="58" s="1"/>
  <c r="E82" i="64"/>
  <c r="F82" i="64" s="1"/>
  <c r="E75" i="52"/>
  <c r="F75" i="52" s="1"/>
  <c r="E46" i="67"/>
  <c r="F46" i="67" s="1"/>
  <c r="F584" i="71"/>
  <c r="F586" i="71" s="1"/>
  <c r="F582" i="71"/>
  <c r="F870" i="71"/>
  <c r="F871" i="71" s="1"/>
  <c r="F794" i="15"/>
  <c r="F795" i="15"/>
  <c r="F649" i="71"/>
  <c r="E654" i="71" s="1"/>
  <c r="F654" i="71" s="1"/>
  <c r="F746" i="71"/>
  <c r="F747" i="71" s="1"/>
  <c r="F1109" i="71"/>
  <c r="F1090" i="71"/>
  <c r="F1089" i="71"/>
  <c r="F1091" i="71" s="1"/>
  <c r="F1099" i="71" s="1"/>
  <c r="F1101" i="71" s="1"/>
  <c r="F1102" i="71" s="1"/>
  <c r="F1007" i="15"/>
  <c r="F1008" i="15" s="1"/>
  <c r="F675" i="71"/>
  <c r="F674" i="71"/>
  <c r="F1032" i="71"/>
  <c r="F1033" i="71"/>
  <c r="F1034" i="71" s="1"/>
  <c r="F1041" i="71" s="1"/>
  <c r="F1042" i="71" s="1"/>
  <c r="F1044" i="71" s="1"/>
  <c r="F1284" i="71"/>
  <c r="F1283" i="71"/>
  <c r="F1285" i="71" s="1"/>
  <c r="F1292" i="71" s="1"/>
  <c r="F267" i="15"/>
  <c r="F268" i="15" s="1"/>
  <c r="G1484" i="71"/>
  <c r="F1484" i="71"/>
  <c r="F801" i="71"/>
  <c r="F803" i="71"/>
  <c r="F805" i="71" s="1"/>
  <c r="F806" i="71" s="1"/>
  <c r="F1319" i="71"/>
  <c r="F1320" i="71" s="1"/>
  <c r="F1322" i="71" s="1"/>
  <c r="F1323" i="71" s="1"/>
  <c r="G1479" i="71"/>
  <c r="G1480" i="71" s="1"/>
  <c r="G1481" i="71" s="1"/>
  <c r="G1485" i="71" s="1"/>
  <c r="F1066" i="71"/>
  <c r="F1060" i="71"/>
  <c r="F1059" i="71"/>
  <c r="E31" i="40"/>
  <c r="F31" i="40" s="1"/>
  <c r="E30" i="41"/>
  <c r="F30" i="41" s="1"/>
  <c r="F18" i="15"/>
  <c r="F19" i="15" s="1"/>
  <c r="F12" i="15"/>
  <c r="F13" i="15" s="1"/>
  <c r="F24" i="15"/>
  <c r="F25" i="15" s="1"/>
  <c r="F27" i="15" s="1"/>
  <c r="F1237" i="71"/>
  <c r="F1239" i="71" s="1"/>
  <c r="F1240" i="71" s="1"/>
  <c r="F1243" i="71" s="1"/>
  <c r="F1245" i="71" s="1"/>
  <c r="F1246" i="71" s="1"/>
  <c r="F1235" i="71"/>
  <c r="F587" i="15"/>
  <c r="F589" i="15" s="1"/>
  <c r="F585" i="15"/>
  <c r="F710" i="71"/>
  <c r="F712" i="71" s="1"/>
  <c r="F708" i="71"/>
  <c r="E640" i="39"/>
  <c r="F640" i="39" s="1"/>
  <c r="E661" i="39"/>
  <c r="E593" i="39"/>
  <c r="G1491" i="15"/>
  <c r="G1494" i="15"/>
  <c r="E246" i="71"/>
  <c r="F246" i="71" s="1"/>
  <c r="F243" i="71"/>
  <c r="F245" i="71"/>
  <c r="F571" i="39"/>
  <c r="F572" i="39" s="1"/>
  <c r="F573" i="39" s="1"/>
  <c r="F563" i="39"/>
  <c r="F564" i="39" s="1"/>
  <c r="F565" i="39" s="1"/>
  <c r="E66" i="52"/>
  <c r="F66" i="52" s="1"/>
  <c r="E65" i="69"/>
  <c r="F65" i="69" s="1"/>
  <c r="E66" i="58"/>
  <c r="F66" i="58" s="1"/>
  <c r="E41" i="67"/>
  <c r="F41" i="67" s="1"/>
  <c r="E73" i="64"/>
  <c r="F73" i="64" s="1"/>
  <c r="F650" i="71"/>
  <c r="F908" i="71"/>
  <c r="E913" i="71" s="1"/>
  <c r="F913" i="71" s="1"/>
  <c r="E1411" i="15"/>
  <c r="E1260" i="71"/>
  <c r="F1260" i="71" s="1"/>
  <c r="E1259" i="71"/>
  <c r="F1259" i="71" s="1"/>
  <c r="F1265" i="71" s="1"/>
  <c r="F1266" i="71" s="1"/>
  <c r="F1267" i="71" s="1"/>
  <c r="F1452" i="71"/>
  <c r="F1453" i="71"/>
  <c r="F1457" i="71" s="1"/>
  <c r="F102" i="71"/>
  <c r="F103" i="71" s="1"/>
  <c r="F104" i="71" s="1"/>
  <c r="F1376" i="71"/>
  <c r="F1377" i="71" s="1"/>
  <c r="F1378" i="71" s="1"/>
  <c r="E1488" i="71"/>
  <c r="F1071" i="15"/>
  <c r="F1064" i="15"/>
  <c r="F1065" i="15"/>
  <c r="F1066" i="15"/>
  <c r="F187" i="15"/>
  <c r="F188" i="15" s="1"/>
  <c r="F1330" i="71"/>
  <c r="F1331" i="71" s="1"/>
  <c r="F1332" i="71" s="1"/>
  <c r="E1437" i="71"/>
  <c r="F1124" i="15"/>
  <c r="F1123" i="15"/>
  <c r="F1125" i="15" s="1"/>
  <c r="E28" i="41"/>
  <c r="F28" i="41" s="1"/>
  <c r="E29" i="40"/>
  <c r="F29" i="40" s="1"/>
  <c r="E13" i="41"/>
  <c r="E14" i="40"/>
  <c r="E6" i="40"/>
  <c r="F6" i="40" s="1"/>
  <c r="E6" i="41"/>
  <c r="F6" i="41" s="1"/>
  <c r="F1220" i="15"/>
  <c r="E116" i="64" s="1"/>
  <c r="F116" i="64" s="1"/>
  <c r="F1222" i="15"/>
  <c r="F1224" i="15" s="1"/>
  <c r="F1225" i="15" s="1"/>
  <c r="E519" i="71"/>
  <c r="F519" i="71" s="1"/>
  <c r="E367" i="71"/>
  <c r="F367" i="71" s="1"/>
  <c r="F579" i="39"/>
  <c r="F580" i="39" s="1"/>
  <c r="F581" i="39" s="1"/>
  <c r="E81" i="52"/>
  <c r="F81" i="52" s="1"/>
  <c r="E89" i="64"/>
  <c r="F89" i="64" s="1"/>
  <c r="E81" i="58"/>
  <c r="F81" i="58" s="1"/>
  <c r="F212" i="71"/>
  <c r="F909" i="71"/>
  <c r="F171" i="15"/>
  <c r="F553" i="71" l="1"/>
  <c r="F555" i="71" s="1"/>
  <c r="E554" i="71"/>
  <c r="F554" i="71" s="1"/>
  <c r="F551" i="71"/>
  <c r="E388" i="71" s="1"/>
  <c r="F388" i="71" s="1"/>
  <c r="E113" i="52"/>
  <c r="F113" i="52" s="1"/>
  <c r="E112" i="58"/>
  <c r="F112" i="58" s="1"/>
  <c r="F972" i="71"/>
  <c r="F974" i="71"/>
  <c r="F976" i="71" s="1"/>
  <c r="F168" i="71"/>
  <c r="F167" i="71"/>
  <c r="G166" i="71"/>
  <c r="G168" i="71" s="1"/>
  <c r="G171" i="71" s="1"/>
  <c r="H39" i="20"/>
  <c r="H40" i="20" s="1"/>
  <c r="H41" i="20" s="1"/>
  <c r="E95" i="52"/>
  <c r="F95" i="52" s="1"/>
  <c r="E94" i="58"/>
  <c r="F94" i="58" s="1"/>
  <c r="E71" i="42"/>
  <c r="F71" i="42" s="1"/>
  <c r="E61" i="67"/>
  <c r="F61" i="67" s="1"/>
  <c r="E88" i="69"/>
  <c r="F88" i="69" s="1"/>
  <c r="E108" i="64"/>
  <c r="F108" i="64" s="1"/>
  <c r="F239" i="15"/>
  <c r="F240" i="15" s="1"/>
  <c r="F618" i="15"/>
  <c r="F620" i="15"/>
  <c r="F622" i="15" s="1"/>
  <c r="F444" i="71"/>
  <c r="F445" i="71" s="1"/>
  <c r="G1179" i="57"/>
  <c r="G1185" i="57" s="1"/>
  <c r="G1186" i="57" s="1"/>
  <c r="G1187" i="57" s="1"/>
  <c r="C77" i="58" s="1"/>
  <c r="C84" i="64" s="1"/>
  <c r="E442" i="71"/>
  <c r="F442" i="71" s="1"/>
  <c r="E407" i="71"/>
  <c r="F72" i="71"/>
  <c r="F75" i="71" s="1"/>
  <c r="F77" i="71" s="1"/>
  <c r="E460" i="71"/>
  <c r="E499" i="71"/>
  <c r="F499" i="71" s="1"/>
  <c r="F803" i="39"/>
  <c r="F806" i="39"/>
  <c r="F809" i="39" s="1"/>
  <c r="F810" i="39" s="1"/>
  <c r="C48" i="58"/>
  <c r="C55" i="64" s="1"/>
  <c r="C623" i="57"/>
  <c r="E623" i="57" s="1"/>
  <c r="E624" i="57" s="1"/>
  <c r="E625" i="57" s="1"/>
  <c r="C52" i="58" s="1"/>
  <c r="C59" i="64" s="1"/>
  <c r="F1380" i="15"/>
  <c r="F1217" i="71"/>
  <c r="F1219" i="71" s="1"/>
  <c r="F1220" i="71" s="1"/>
  <c r="F1215" i="71"/>
  <c r="F1113" i="15"/>
  <c r="F1118" i="15" s="1"/>
  <c r="F1110" i="15"/>
  <c r="E25" i="40"/>
  <c r="F25" i="40" s="1"/>
  <c r="E24" i="41"/>
  <c r="F24" i="41" s="1"/>
  <c r="F979" i="15"/>
  <c r="F981" i="15" s="1"/>
  <c r="F977" i="15"/>
  <c r="E102" i="64" s="1"/>
  <c r="F102" i="64" s="1"/>
  <c r="G376" i="68"/>
  <c r="G377" i="68" s="1"/>
  <c r="C48" i="67" s="1"/>
  <c r="F298" i="15"/>
  <c r="F299" i="15" s="1"/>
  <c r="F300" i="15" s="1"/>
  <c r="F301" i="15" s="1"/>
  <c r="C47" i="58"/>
  <c r="C54" i="64" s="1"/>
  <c r="C612" i="57"/>
  <c r="E612" i="57" s="1"/>
  <c r="E613" i="57" s="1"/>
  <c r="E614" i="57" s="1"/>
  <c r="C51" i="58" s="1"/>
  <c r="C58" i="64" s="1"/>
  <c r="F683" i="15"/>
  <c r="E56" i="42"/>
  <c r="F56" i="42" s="1"/>
  <c r="E688" i="39"/>
  <c r="F688" i="39" s="1"/>
  <c r="E822" i="39"/>
  <c r="F822" i="39" s="1"/>
  <c r="E595" i="39"/>
  <c r="F595" i="39" s="1"/>
  <c r="E667" i="39"/>
  <c r="E641" i="39"/>
  <c r="F641" i="39" s="1"/>
  <c r="F651" i="39" s="1"/>
  <c r="E665" i="39"/>
  <c r="F665" i="39" s="1"/>
  <c r="F209" i="15"/>
  <c r="F210" i="15" s="1"/>
  <c r="F295" i="71"/>
  <c r="F296" i="71" s="1"/>
  <c r="F297" i="71" s="1"/>
  <c r="F298" i="71" s="1"/>
  <c r="F10" i="71"/>
  <c r="F11" i="71" s="1"/>
  <c r="F12" i="71" s="1"/>
  <c r="F13" i="71" s="1"/>
  <c r="F14" i="71" s="1"/>
  <c r="F16" i="71"/>
  <c r="F17" i="71" s="1"/>
  <c r="F22" i="71"/>
  <c r="F23" i="71" s="1"/>
  <c r="F25" i="71" s="1"/>
  <c r="F26" i="71" s="1"/>
  <c r="F27" i="71" s="1"/>
  <c r="F28" i="71" s="1"/>
  <c r="F708" i="15"/>
  <c r="F710" i="15" s="1"/>
  <c r="F706" i="15"/>
  <c r="E26" i="41"/>
  <c r="F26" i="41" s="1"/>
  <c r="E27" i="40"/>
  <c r="F27" i="40" s="1"/>
  <c r="F247" i="71"/>
  <c r="F248" i="71" s="1"/>
  <c r="F1061" i="71"/>
  <c r="F561" i="15"/>
  <c r="E562" i="15"/>
  <c r="F562" i="15" s="1"/>
  <c r="F559" i="15"/>
  <c r="E397" i="15" s="1"/>
  <c r="F397" i="15" s="1"/>
  <c r="F1343" i="15"/>
  <c r="F1347" i="15" s="1"/>
  <c r="F1348" i="15" s="1"/>
  <c r="F1349" i="15" s="1"/>
  <c r="F1350" i="15" s="1"/>
  <c r="F1339" i="15"/>
  <c r="F1340" i="15" s="1"/>
  <c r="F1341" i="15" s="1"/>
  <c r="E50" i="67" s="1"/>
  <c r="F50" i="67" s="1"/>
  <c r="F1050" i="15"/>
  <c r="F1051" i="15" s="1"/>
  <c r="F327" i="71"/>
  <c r="F328" i="71" s="1"/>
  <c r="E27" i="41"/>
  <c r="F27" i="41" s="1"/>
  <c r="E28" i="40"/>
  <c r="F28" i="40" s="1"/>
  <c r="F1003" i="71"/>
  <c r="F1002" i="71"/>
  <c r="E61" i="52"/>
  <c r="F61" i="52" s="1"/>
  <c r="E68" i="64"/>
  <c r="F68" i="64" s="1"/>
  <c r="E38" i="67"/>
  <c r="F38" i="67" s="1"/>
  <c r="F651" i="15"/>
  <c r="F653" i="15" s="1"/>
  <c r="E60" i="69"/>
  <c r="F60" i="69" s="1"/>
  <c r="E61" i="58"/>
  <c r="F61" i="58" s="1"/>
  <c r="F1329" i="71"/>
  <c r="F1333" i="71" s="1"/>
  <c r="F1324" i="71"/>
  <c r="F1325" i="71"/>
  <c r="F1326" i="71" s="1"/>
  <c r="F1103" i="71"/>
  <c r="F1104" i="71" s="1"/>
  <c r="E42" i="40"/>
  <c r="F42" i="40" s="1"/>
  <c r="E46" i="41"/>
  <c r="F46" i="41" s="1"/>
  <c r="E273" i="15"/>
  <c r="F273" i="15" s="1"/>
  <c r="F272" i="15"/>
  <c r="F269" i="15"/>
  <c r="E446" i="15" s="1"/>
  <c r="F446" i="15" s="1"/>
  <c r="F1045" i="71"/>
  <c r="F1046" i="71" s="1"/>
  <c r="F1011" i="15"/>
  <c r="F1013" i="15" s="1"/>
  <c r="F1009" i="15"/>
  <c r="F750" i="71"/>
  <c r="F752" i="71" s="1"/>
  <c r="F748" i="71"/>
  <c r="F874" i="71"/>
  <c r="F876" i="71" s="1"/>
  <c r="F872" i="71"/>
  <c r="F172" i="15"/>
  <c r="F174" i="15"/>
  <c r="E216" i="71"/>
  <c r="F216" i="71" s="1"/>
  <c r="F215" i="71"/>
  <c r="F213" i="71"/>
  <c r="E43" i="40"/>
  <c r="F43" i="40" s="1"/>
  <c r="E47" i="41"/>
  <c r="F47" i="41" s="1"/>
  <c r="E43" i="41"/>
  <c r="F43" i="41" s="1"/>
  <c r="F13" i="41"/>
  <c r="F1437" i="71"/>
  <c r="G1437" i="71" s="1"/>
  <c r="G1438" i="71" s="1"/>
  <c r="F625" i="15"/>
  <c r="F627" i="15" s="1"/>
  <c r="F628" i="15" s="1"/>
  <c r="F623" i="15"/>
  <c r="F1488" i="71"/>
  <c r="G1488" i="71" s="1"/>
  <c r="G1489" i="71" s="1"/>
  <c r="F1458" i="71"/>
  <c r="F1459" i="71" s="1"/>
  <c r="F1460" i="71" s="1"/>
  <c r="F1411" i="15"/>
  <c r="G1411" i="15" s="1"/>
  <c r="G1412" i="15" s="1"/>
  <c r="F651" i="71"/>
  <c r="F653" i="71"/>
  <c r="F655" i="71" s="1"/>
  <c r="F656" i="71" s="1"/>
  <c r="E379" i="71"/>
  <c r="F379" i="71" s="1"/>
  <c r="E473" i="71"/>
  <c r="F473" i="71" s="1"/>
  <c r="E530" i="71"/>
  <c r="F530" i="71" s="1"/>
  <c r="E93" i="52"/>
  <c r="F93" i="52" s="1"/>
  <c r="E86" i="69"/>
  <c r="F86" i="69" s="1"/>
  <c r="E92" i="58"/>
  <c r="F92" i="58" s="1"/>
  <c r="E106" i="64"/>
  <c r="F106" i="64" s="1"/>
  <c r="E615" i="39"/>
  <c r="F615" i="39" s="1"/>
  <c r="F593" i="39"/>
  <c r="E51" i="58"/>
  <c r="F51" i="58" s="1"/>
  <c r="E58" i="64"/>
  <c r="F58" i="64" s="1"/>
  <c r="E51" i="52"/>
  <c r="F51" i="52" s="1"/>
  <c r="E33" i="67"/>
  <c r="F33" i="67" s="1"/>
  <c r="E50" i="69"/>
  <c r="F50" i="69" s="1"/>
  <c r="F28" i="15"/>
  <c r="F29" i="15" s="1"/>
  <c r="F30" i="15" s="1"/>
  <c r="E17" i="42" s="1"/>
  <c r="F17" i="42" s="1"/>
  <c r="F20" i="15"/>
  <c r="F21" i="15" s="1"/>
  <c r="F22" i="15" s="1"/>
  <c r="E15" i="42" s="1"/>
  <c r="F15" i="42" s="1"/>
  <c r="F1068" i="71"/>
  <c r="F1067" i="71"/>
  <c r="G1486" i="71"/>
  <c r="F1293" i="71"/>
  <c r="F1294" i="71" s="1"/>
  <c r="F1295" i="71" s="1"/>
  <c r="F678" i="71"/>
  <c r="F680" i="71" s="1"/>
  <c r="F676" i="71"/>
  <c r="F1110" i="71"/>
  <c r="F1117" i="71"/>
  <c r="F1111" i="71"/>
  <c r="F589" i="71"/>
  <c r="F591" i="71" s="1"/>
  <c r="F592" i="71" s="1"/>
  <c r="F587" i="71"/>
  <c r="G1408" i="71"/>
  <c r="G1411" i="71"/>
  <c r="G1412" i="71" s="1"/>
  <c r="F615" i="71"/>
  <c r="F617" i="71"/>
  <c r="F619" i="71" s="1"/>
  <c r="F875" i="15"/>
  <c r="F876" i="15"/>
  <c r="F760" i="15"/>
  <c r="F762" i="15" s="1"/>
  <c r="F758" i="15"/>
  <c r="F463" i="15"/>
  <c r="E482" i="15"/>
  <c r="F952" i="15"/>
  <c r="F954" i="15" s="1"/>
  <c r="F955" i="15" s="1"/>
  <c r="F950" i="15"/>
  <c r="E103" i="52"/>
  <c r="F103" i="52" s="1"/>
  <c r="E96" i="69"/>
  <c r="F96" i="69" s="1"/>
  <c r="E102" i="58"/>
  <c r="F102" i="58" s="1"/>
  <c r="F504" i="15"/>
  <c r="F505" i="15" s="1"/>
  <c r="F1121" i="15"/>
  <c r="F1126" i="15" s="1"/>
  <c r="F1127" i="15" s="1"/>
  <c r="F1119" i="15"/>
  <c r="F912" i="71"/>
  <c r="F914" i="71" s="1"/>
  <c r="F915" i="71" s="1"/>
  <c r="F910" i="71"/>
  <c r="E39" i="40"/>
  <c r="F39" i="40" s="1"/>
  <c r="F14" i="40"/>
  <c r="E599" i="39"/>
  <c r="E821" i="39"/>
  <c r="F821" i="39" s="1"/>
  <c r="E34" i="42"/>
  <c r="F34" i="42" s="1"/>
  <c r="E44" i="67"/>
  <c r="F44" i="67" s="1"/>
  <c r="E650" i="39"/>
  <c r="F650" i="39" s="1"/>
  <c r="E71" i="58"/>
  <c r="F71" i="58" s="1"/>
  <c r="E78" i="64"/>
  <c r="F78" i="64" s="1"/>
  <c r="E71" i="52"/>
  <c r="F71" i="52" s="1"/>
  <c r="E70" i="69"/>
  <c r="F70" i="69" s="1"/>
  <c r="E671" i="39"/>
  <c r="F1073" i="15"/>
  <c r="F1072" i="15"/>
  <c r="F1074" i="15"/>
  <c r="F652" i="39"/>
  <c r="F653" i="39"/>
  <c r="F654" i="39" s="1"/>
  <c r="E467" i="71"/>
  <c r="F467" i="71" s="1"/>
  <c r="E373" i="71"/>
  <c r="F373" i="71" s="1"/>
  <c r="E525" i="71"/>
  <c r="F525" i="71" s="1"/>
  <c r="G1498" i="15"/>
  <c r="G1499" i="15" s="1"/>
  <c r="G1495" i="15"/>
  <c r="E718" i="39"/>
  <c r="F718" i="39" s="1"/>
  <c r="F661" i="39"/>
  <c r="F590" i="15"/>
  <c r="F592" i="15"/>
  <c r="F594" i="15" s="1"/>
  <c r="F595" i="15" s="1"/>
  <c r="F14" i="15"/>
  <c r="F15" i="15" s="1"/>
  <c r="F16" i="15" s="1"/>
  <c r="F339" i="15"/>
  <c r="E509" i="15" s="1"/>
  <c r="F509" i="15" s="1"/>
  <c r="E342" i="15"/>
  <c r="F342" i="15" s="1"/>
  <c r="F341" i="15"/>
  <c r="E48" i="67"/>
  <c r="F48" i="67" s="1"/>
  <c r="E84" i="64"/>
  <c r="F84" i="64" s="1"/>
  <c r="E369" i="15"/>
  <c r="F410" i="15"/>
  <c r="F412" i="15" s="1"/>
  <c r="F83" i="15"/>
  <c r="F85" i="15" s="1"/>
  <c r="F86" i="15" s="1"/>
  <c r="E381" i="15" s="1"/>
  <c r="F81" i="15"/>
  <c r="E375" i="15"/>
  <c r="C1441" i="71"/>
  <c r="E1441" i="71" s="1"/>
  <c r="E1339" i="71"/>
  <c r="F1339" i="71" s="1"/>
  <c r="F1340" i="71" s="1"/>
  <c r="F1341" i="71" s="1"/>
  <c r="C1492" i="71"/>
  <c r="E1492" i="71" s="1"/>
  <c r="C1415" i="15"/>
  <c r="E1415" i="15" s="1"/>
  <c r="E66" i="67"/>
  <c r="F66" i="67" s="1"/>
  <c r="F271" i="71"/>
  <c r="F447" i="15"/>
  <c r="F448" i="15" s="1"/>
  <c r="F243" i="15" l="1"/>
  <c r="F241" i="15"/>
  <c r="E464" i="15"/>
  <c r="F464" i="15" s="1"/>
  <c r="E244" i="15"/>
  <c r="F244" i="15" s="1"/>
  <c r="F1052" i="15"/>
  <c r="F1054" i="15"/>
  <c r="F1059" i="15" s="1"/>
  <c r="F213" i="15"/>
  <c r="F215" i="15" s="1"/>
  <c r="E214" i="15"/>
  <c r="F214" i="15" s="1"/>
  <c r="F211" i="15"/>
  <c r="F1112" i="71"/>
  <c r="F1069" i="71"/>
  <c r="F656" i="15"/>
  <c r="F658" i="15" s="1"/>
  <c r="F659" i="15" s="1"/>
  <c r="F654" i="15"/>
  <c r="F330" i="71"/>
  <c r="F329" i="71"/>
  <c r="F18" i="71"/>
  <c r="F19" i="71"/>
  <c r="F20" i="71" s="1"/>
  <c r="F305" i="15"/>
  <c r="F307" i="15" s="1"/>
  <c r="E306" i="15"/>
  <c r="F306" i="15" s="1"/>
  <c r="F302" i="15"/>
  <c r="F460" i="71"/>
  <c r="F462" i="71" s="1"/>
  <c r="F463" i="71" s="1"/>
  <c r="E479" i="71"/>
  <c r="F171" i="71"/>
  <c r="F169" i="71"/>
  <c r="F726" i="39"/>
  <c r="F727" i="39" s="1"/>
  <c r="F1004" i="71"/>
  <c r="F1006" i="71"/>
  <c r="F1008" i="71" s="1"/>
  <c r="F684" i="15"/>
  <c r="F686" i="15"/>
  <c r="F688" i="15" s="1"/>
  <c r="F689" i="15" s="1"/>
  <c r="E372" i="71"/>
  <c r="F80" i="71"/>
  <c r="F82" i="71" s="1"/>
  <c r="F83" i="71" s="1"/>
  <c r="E378" i="71" s="1"/>
  <c r="F78" i="71"/>
  <c r="F979" i="71"/>
  <c r="F981" i="71" s="1"/>
  <c r="F982" i="71" s="1"/>
  <c r="F977" i="71"/>
  <c r="F465" i="15"/>
  <c r="F466" i="15" s="1"/>
  <c r="F274" i="15"/>
  <c r="F711" i="15"/>
  <c r="F713" i="15"/>
  <c r="F715" i="15" s="1"/>
  <c r="F302" i="71"/>
  <c r="F304" i="71" s="1"/>
  <c r="E303" i="71"/>
  <c r="F303" i="71" s="1"/>
  <c r="F299" i="71"/>
  <c r="F1382" i="15"/>
  <c r="F1383" i="15" s="1"/>
  <c r="F1381" i="15"/>
  <c r="E366" i="71"/>
  <c r="F407" i="71"/>
  <c r="F409" i="71" s="1"/>
  <c r="F563" i="15"/>
  <c r="F564" i="15" s="1"/>
  <c r="E403" i="15" s="1"/>
  <c r="F403" i="15" s="1"/>
  <c r="F667" i="39"/>
  <c r="E720" i="39"/>
  <c r="F720" i="39" s="1"/>
  <c r="F982" i="15"/>
  <c r="F984" i="15"/>
  <c r="F986" i="15" s="1"/>
  <c r="F987" i="15" s="1"/>
  <c r="E559" i="71"/>
  <c r="F559" i="71" s="1"/>
  <c r="F556" i="71"/>
  <c r="E394" i="71" s="1"/>
  <c r="F394" i="71" s="1"/>
  <c r="F558" i="71"/>
  <c r="F560" i="71" s="1"/>
  <c r="F561" i="71" s="1"/>
  <c r="E400" i="71" s="1"/>
  <c r="F400" i="71" s="1"/>
  <c r="E3" i="64"/>
  <c r="E3" i="67"/>
  <c r="E601" i="39"/>
  <c r="F601" i="39" s="1"/>
  <c r="E3" i="69"/>
  <c r="E11" i="42"/>
  <c r="F11" i="42" s="1"/>
  <c r="E3" i="52"/>
  <c r="E3" i="58"/>
  <c r="E815" i="39"/>
  <c r="F1108" i="71"/>
  <c r="F1113" i="71" s="1"/>
  <c r="F1105" i="71"/>
  <c r="E420" i="15"/>
  <c r="F381" i="15"/>
  <c r="E402" i="15"/>
  <c r="F402" i="15" s="1"/>
  <c r="F404" i="15" s="1"/>
  <c r="F405" i="15" s="1"/>
  <c r="E390" i="15"/>
  <c r="F390" i="15" s="1"/>
  <c r="F392" i="15" s="1"/>
  <c r="F393" i="15" s="1"/>
  <c r="F369" i="15"/>
  <c r="E59" i="64"/>
  <c r="F59" i="64" s="1"/>
  <c r="E52" i="52"/>
  <c r="F52" i="52" s="1"/>
  <c r="E51" i="69"/>
  <c r="F51" i="69" s="1"/>
  <c r="E52" i="58"/>
  <c r="F52" i="58" s="1"/>
  <c r="E35" i="40"/>
  <c r="F35" i="40" s="1"/>
  <c r="E34" i="41"/>
  <c r="F34" i="41" s="1"/>
  <c r="F599" i="39"/>
  <c r="F603" i="39" s="1"/>
  <c r="E627" i="39"/>
  <c r="F627" i="39" s="1"/>
  <c r="E69" i="42"/>
  <c r="F69" i="42" s="1"/>
  <c r="F763" i="15"/>
  <c r="F879" i="15"/>
  <c r="F881" i="15" s="1"/>
  <c r="F877" i="15"/>
  <c r="F622" i="71"/>
  <c r="F624" i="71" s="1"/>
  <c r="F625" i="71" s="1"/>
  <c r="F620" i="71"/>
  <c r="F1119" i="71"/>
  <c r="F1120" i="71" s="1"/>
  <c r="F1118" i="71"/>
  <c r="G1490" i="71"/>
  <c r="G1413" i="15"/>
  <c r="E72" i="52"/>
  <c r="F72" i="52" s="1"/>
  <c r="E71" i="69"/>
  <c r="F71" i="69" s="1"/>
  <c r="E72" i="58"/>
  <c r="F72" i="58" s="1"/>
  <c r="E79" i="64"/>
  <c r="F79" i="64" s="1"/>
  <c r="G1439" i="71"/>
  <c r="E430" i="71"/>
  <c r="F430" i="71" s="1"/>
  <c r="E412" i="71"/>
  <c r="F412" i="71" s="1"/>
  <c r="E11" i="58"/>
  <c r="F11" i="58" s="1"/>
  <c r="E11" i="69"/>
  <c r="F11" i="69" s="1"/>
  <c r="E11" i="67"/>
  <c r="F11" i="67" s="1"/>
  <c r="E11" i="52"/>
  <c r="F11" i="52" s="1"/>
  <c r="E19" i="64"/>
  <c r="F19" i="64" s="1"/>
  <c r="F879" i="71"/>
  <c r="F881" i="71" s="1"/>
  <c r="F882" i="71" s="1"/>
  <c r="F877" i="71"/>
  <c r="F755" i="71"/>
  <c r="F757" i="71" s="1"/>
  <c r="F758" i="71" s="1"/>
  <c r="F753" i="71"/>
  <c r="F1016" i="15"/>
  <c r="F1018" i="15" s="1"/>
  <c r="F1019" i="15" s="1"/>
  <c r="F1014" i="15"/>
  <c r="F1049" i="71"/>
  <c r="F1054" i="71" s="1"/>
  <c r="F1047" i="71"/>
  <c r="F277" i="15"/>
  <c r="F275" i="15"/>
  <c r="E452" i="15" s="1"/>
  <c r="F452" i="15" s="1"/>
  <c r="E278" i="15"/>
  <c r="F278" i="15" s="1"/>
  <c r="F1334" i="71"/>
  <c r="F1335" i="71" s="1"/>
  <c r="F1336" i="71" s="1"/>
  <c r="F1338" i="71"/>
  <c r="F1342" i="71" s="1"/>
  <c r="F1343" i="71" s="1"/>
  <c r="F1344" i="71" s="1"/>
  <c r="F1345" i="71" s="1"/>
  <c r="E32" i="58"/>
  <c r="F32" i="58" s="1"/>
  <c r="E32" i="52"/>
  <c r="F32" i="52" s="1"/>
  <c r="E31" i="69"/>
  <c r="F31" i="69" s="1"/>
  <c r="E40" i="64"/>
  <c r="F40" i="64" s="1"/>
  <c r="E26" i="67"/>
  <c r="F26" i="67" s="1"/>
  <c r="F308" i="15"/>
  <c r="E489" i="15" s="1"/>
  <c r="F489" i="15" s="1"/>
  <c r="F310" i="15"/>
  <c r="E311" i="15"/>
  <c r="F311" i="15" s="1"/>
  <c r="F1492" i="71"/>
  <c r="G1492" i="71" s="1"/>
  <c r="G1493" i="71" s="1"/>
  <c r="G1494" i="71" s="1"/>
  <c r="F1441" i="71"/>
  <c r="G1441" i="71"/>
  <c r="G1442" i="71" s="1"/>
  <c r="G1443" i="71" s="1"/>
  <c r="F375" i="15"/>
  <c r="E396" i="15"/>
  <c r="F396" i="15" s="1"/>
  <c r="F398" i="15" s="1"/>
  <c r="F399" i="15" s="1"/>
  <c r="E414" i="15"/>
  <c r="F272" i="71"/>
  <c r="E449" i="71" s="1"/>
  <c r="F449" i="71" s="1"/>
  <c r="F274" i="71"/>
  <c r="E275" i="71"/>
  <c r="F275" i="71" s="1"/>
  <c r="F1415" i="15"/>
  <c r="G1415" i="15" s="1"/>
  <c r="G1416" i="15" s="1"/>
  <c r="G1417" i="15" s="1"/>
  <c r="E16" i="58"/>
  <c r="F16" i="58" s="1"/>
  <c r="E25" i="64"/>
  <c r="F25" i="64" s="1"/>
  <c r="E17" i="67"/>
  <c r="F17" i="67" s="1"/>
  <c r="E16" i="67"/>
  <c r="F16" i="67" s="1"/>
  <c r="E24" i="64"/>
  <c r="F24" i="64" s="1"/>
  <c r="E16" i="52"/>
  <c r="F16" i="52" s="1"/>
  <c r="E15" i="69"/>
  <c r="F15" i="69" s="1"/>
  <c r="E16" i="69"/>
  <c r="F16" i="69" s="1"/>
  <c r="E17" i="52"/>
  <c r="F17" i="52" s="1"/>
  <c r="E17" i="58"/>
  <c r="F17" i="58" s="1"/>
  <c r="E52" i="69"/>
  <c r="F52" i="69" s="1"/>
  <c r="E53" i="58"/>
  <c r="F53" i="58" s="1"/>
  <c r="E53" i="52"/>
  <c r="F53" i="52" s="1"/>
  <c r="E60" i="64"/>
  <c r="F60" i="64" s="1"/>
  <c r="F671" i="39"/>
  <c r="E689" i="39"/>
  <c r="F689" i="39" s="1"/>
  <c r="F692" i="39" s="1"/>
  <c r="E521" i="15"/>
  <c r="F521" i="15" s="1"/>
  <c r="F482" i="15"/>
  <c r="F484" i="15" s="1"/>
  <c r="F485" i="15" s="1"/>
  <c r="F681" i="71"/>
  <c r="F683" i="71"/>
  <c r="F685" i="71" s="1"/>
  <c r="F686" i="71" s="1"/>
  <c r="E73" i="52"/>
  <c r="F73" i="52" s="1"/>
  <c r="E73" i="58"/>
  <c r="F73" i="58" s="1"/>
  <c r="E80" i="64"/>
  <c r="F80" i="64" s="1"/>
  <c r="E72" i="69"/>
  <c r="F72" i="69" s="1"/>
  <c r="F177" i="15"/>
  <c r="F181" i="15" s="1"/>
  <c r="F175" i="15"/>
  <c r="F343" i="15"/>
  <c r="F344" i="15" s="1"/>
  <c r="E515" i="15" s="1"/>
  <c r="F515" i="15" s="1"/>
  <c r="F678" i="39"/>
  <c r="F217" i="71"/>
  <c r="F218" i="71" s="1"/>
  <c r="E387" i="71" l="1"/>
  <c r="F387" i="71" s="1"/>
  <c r="F389" i="71" s="1"/>
  <c r="F390" i="71" s="1"/>
  <c r="F366" i="71"/>
  <c r="F368" i="71" s="1"/>
  <c r="F369" i="71" s="1"/>
  <c r="E67" i="52"/>
  <c r="F67" i="52" s="1"/>
  <c r="E74" i="64"/>
  <c r="F74" i="64" s="1"/>
  <c r="E67" i="58"/>
  <c r="F67" i="58" s="1"/>
  <c r="E66" i="69"/>
  <c r="F66" i="69" s="1"/>
  <c r="E70" i="64"/>
  <c r="F70" i="64" s="1"/>
  <c r="E63" i="52"/>
  <c r="F63" i="52" s="1"/>
  <c r="E62" i="69"/>
  <c r="F62" i="69" s="1"/>
  <c r="E63" i="58"/>
  <c r="F63" i="58" s="1"/>
  <c r="E308" i="71"/>
  <c r="F308" i="71" s="1"/>
  <c r="F307" i="71"/>
  <c r="F309" i="71" s="1"/>
  <c r="F310" i="71" s="1"/>
  <c r="E492" i="71" s="1"/>
  <c r="F492" i="71" s="1"/>
  <c r="F305" i="71"/>
  <c r="E486" i="71" s="1"/>
  <c r="F486" i="71" s="1"/>
  <c r="F378" i="71"/>
  <c r="F380" i="71" s="1"/>
  <c r="F381" i="71" s="1"/>
  <c r="E399" i="71"/>
  <c r="F399" i="71" s="1"/>
  <c r="F401" i="71" s="1"/>
  <c r="F402" i="71" s="1"/>
  <c r="E417" i="71"/>
  <c r="F1009" i="71"/>
  <c r="F1011" i="71"/>
  <c r="F1013" i="71" s="1"/>
  <c r="F1014" i="71" s="1"/>
  <c r="F172" i="71"/>
  <c r="F174" i="71"/>
  <c r="F178" i="71" s="1"/>
  <c r="E219" i="15"/>
  <c r="F219" i="15" s="1"/>
  <c r="F218" i="15"/>
  <c r="F216" i="15"/>
  <c r="E107" i="52"/>
  <c r="F107" i="52" s="1"/>
  <c r="E106" i="58"/>
  <c r="F106" i="58" s="1"/>
  <c r="E100" i="69"/>
  <c r="F100" i="69" s="1"/>
  <c r="E70" i="67"/>
  <c r="F70" i="67" s="1"/>
  <c r="E120" i="64"/>
  <c r="F120" i="64" s="1"/>
  <c r="E393" i="71"/>
  <c r="F393" i="71" s="1"/>
  <c r="F395" i="71" s="1"/>
  <c r="F396" i="71" s="1"/>
  <c r="E411" i="71"/>
  <c r="F372" i="71"/>
  <c r="F374" i="71" s="1"/>
  <c r="F375" i="71" s="1"/>
  <c r="E518" i="71"/>
  <c r="F518" i="71" s="1"/>
  <c r="F520" i="71" s="1"/>
  <c r="F521" i="71" s="1"/>
  <c r="F479" i="71"/>
  <c r="F481" i="71" s="1"/>
  <c r="F482" i="71" s="1"/>
  <c r="F333" i="71"/>
  <c r="E334" i="71"/>
  <c r="F334" i="71" s="1"/>
  <c r="F331" i="71"/>
  <c r="E500" i="71" s="1"/>
  <c r="F500" i="71" s="1"/>
  <c r="F501" i="71" s="1"/>
  <c r="F502" i="71" s="1"/>
  <c r="F1062" i="15"/>
  <c r="F1067" i="15" s="1"/>
  <c r="F1060" i="15"/>
  <c r="E522" i="15"/>
  <c r="F522" i="15" s="1"/>
  <c r="F523" i="15" s="1"/>
  <c r="F524" i="15" s="1"/>
  <c r="E370" i="15"/>
  <c r="F370" i="15" s="1"/>
  <c r="F371" i="15" s="1"/>
  <c r="F372" i="15" s="1"/>
  <c r="E68" i="52"/>
  <c r="F68" i="52" s="1"/>
  <c r="E75" i="64"/>
  <c r="F75" i="64" s="1"/>
  <c r="E67" i="69"/>
  <c r="F67" i="69" s="1"/>
  <c r="E68" i="58"/>
  <c r="F68" i="58" s="1"/>
  <c r="E62" i="58"/>
  <c r="F62" i="58" s="1"/>
  <c r="E69" i="64"/>
  <c r="F69" i="64" s="1"/>
  <c r="E61" i="69"/>
  <c r="F61" i="69" s="1"/>
  <c r="E62" i="52"/>
  <c r="F62" i="52" s="1"/>
  <c r="F245" i="15"/>
  <c r="E418" i="71"/>
  <c r="F418" i="71" s="1"/>
  <c r="E436" i="71"/>
  <c r="F436" i="71" s="1"/>
  <c r="F185" i="15"/>
  <c r="F189" i="15" s="1"/>
  <c r="F190" i="15" s="1"/>
  <c r="F182" i="15"/>
  <c r="E48" i="58"/>
  <c r="F48" i="58" s="1"/>
  <c r="E48" i="52"/>
  <c r="F48" i="52" s="1"/>
  <c r="E47" i="69"/>
  <c r="F47" i="69" s="1"/>
  <c r="E55" i="64"/>
  <c r="F55" i="64" s="1"/>
  <c r="E56" i="67"/>
  <c r="F56" i="67" s="1"/>
  <c r="E84" i="58"/>
  <c r="F84" i="58" s="1"/>
  <c r="E82" i="69"/>
  <c r="F82" i="69" s="1"/>
  <c r="E84" i="52"/>
  <c r="F84" i="52" s="1"/>
  <c r="E92" i="64"/>
  <c r="F92" i="64" s="1"/>
  <c r="E438" i="15"/>
  <c r="F420" i="15"/>
  <c r="F1114" i="71"/>
  <c r="F1116" i="71"/>
  <c r="F1121" i="71" s="1"/>
  <c r="F1122" i="71" s="1"/>
  <c r="E7" i="58"/>
  <c r="F7" i="58" s="1"/>
  <c r="F3" i="58"/>
  <c r="M15" i="64"/>
  <c r="N15" i="64" s="1"/>
  <c r="E14" i="64"/>
  <c r="F14" i="64" s="1"/>
  <c r="F3" i="64"/>
  <c r="F128" i="64" s="1"/>
  <c r="F129" i="64" s="1"/>
  <c r="F680" i="39"/>
  <c r="F681" i="39" s="1"/>
  <c r="E37" i="41" s="1"/>
  <c r="F37" i="41" s="1"/>
  <c r="F679" i="39"/>
  <c r="E55" i="69"/>
  <c r="F55" i="69" s="1"/>
  <c r="E56" i="58"/>
  <c r="F56" i="58" s="1"/>
  <c r="E63" i="64"/>
  <c r="F63" i="64" s="1"/>
  <c r="E56" i="52"/>
  <c r="F56" i="52" s="1"/>
  <c r="E36" i="67"/>
  <c r="F36" i="67" s="1"/>
  <c r="E22" i="52"/>
  <c r="E21" i="69"/>
  <c r="E22" i="67"/>
  <c r="E22" i="58"/>
  <c r="E30" i="64"/>
  <c r="F694" i="39"/>
  <c r="F695" i="39" s="1"/>
  <c r="E39" i="41" s="1"/>
  <c r="F39" i="41" s="1"/>
  <c r="F693" i="39"/>
  <c r="F414" i="15"/>
  <c r="E432" i="15"/>
  <c r="F1057" i="71"/>
  <c r="F1062" i="71" s="1"/>
  <c r="F1055" i="71"/>
  <c r="E77" i="52"/>
  <c r="F77" i="52" s="1"/>
  <c r="E77" i="58"/>
  <c r="F77" i="58" s="1"/>
  <c r="E76" i="69"/>
  <c r="F76" i="69" s="1"/>
  <c r="F882" i="15"/>
  <c r="F884" i="15"/>
  <c r="F886" i="15" s="1"/>
  <c r="F887" i="15" s="1"/>
  <c r="F604" i="39"/>
  <c r="F605" i="39" s="1"/>
  <c r="F606" i="39" s="1"/>
  <c r="E47" i="52"/>
  <c r="F47" i="52" s="1"/>
  <c r="E54" i="64"/>
  <c r="F54" i="64" s="1"/>
  <c r="E46" i="69"/>
  <c r="F46" i="69" s="1"/>
  <c r="E47" i="58"/>
  <c r="F47" i="58" s="1"/>
  <c r="E818" i="39"/>
  <c r="F818" i="39" s="1"/>
  <c r="F815" i="39"/>
  <c r="F3" i="52"/>
  <c r="F115" i="52" s="1"/>
  <c r="F116" i="52" s="1"/>
  <c r="E7" i="52"/>
  <c r="F7" i="52" s="1"/>
  <c r="F3" i="69"/>
  <c r="E7" i="69"/>
  <c r="F7" i="69" s="1"/>
  <c r="E7" i="67"/>
  <c r="F7" i="67" s="1"/>
  <c r="F3" i="67"/>
  <c r="F276" i="71"/>
  <c r="F277" i="71" s="1"/>
  <c r="E455" i="71" s="1"/>
  <c r="F455" i="71" s="1"/>
  <c r="F312" i="15"/>
  <c r="F313" i="15" s="1"/>
  <c r="E495" i="15" s="1"/>
  <c r="F495" i="15" s="1"/>
  <c r="F279" i="15"/>
  <c r="F280" i="15" s="1"/>
  <c r="E458" i="15" s="1"/>
  <c r="F458" i="15" s="1"/>
  <c r="E37" i="52" l="1"/>
  <c r="F37" i="52" s="1"/>
  <c r="E45" i="64"/>
  <c r="F45" i="64" s="1"/>
  <c r="E28" i="67"/>
  <c r="F28" i="67" s="1"/>
  <c r="E36" i="69"/>
  <c r="F36" i="69" s="1"/>
  <c r="E37" i="58"/>
  <c r="F37" i="58" s="1"/>
  <c r="E50" i="64"/>
  <c r="F50" i="64" s="1"/>
  <c r="E43" i="58"/>
  <c r="F43" i="58" s="1"/>
  <c r="E30" i="67"/>
  <c r="F30" i="67" s="1"/>
  <c r="E43" i="52"/>
  <c r="F43" i="52" s="1"/>
  <c r="E42" i="69"/>
  <c r="F42" i="69" s="1"/>
  <c r="F335" i="71"/>
  <c r="E429" i="71"/>
  <c r="F411" i="71"/>
  <c r="F413" i="71" s="1"/>
  <c r="F414" i="71" s="1"/>
  <c r="F220" i="15"/>
  <c r="F221" i="15" s="1"/>
  <c r="F416" i="15"/>
  <c r="F417" i="15" s="1"/>
  <c r="F248" i="15"/>
  <c r="F246" i="15"/>
  <c r="E249" i="15"/>
  <c r="F249" i="15" s="1"/>
  <c r="F1070" i="15"/>
  <c r="F1075" i="15" s="1"/>
  <c r="F1076" i="15" s="1"/>
  <c r="F1068" i="15"/>
  <c r="F179" i="71"/>
  <c r="F182" i="71"/>
  <c r="F186" i="71" s="1"/>
  <c r="F187" i="71" s="1"/>
  <c r="E435" i="71"/>
  <c r="F417" i="71"/>
  <c r="F419" i="71" s="1"/>
  <c r="F420" i="71" s="1"/>
  <c r="E415" i="15"/>
  <c r="F415" i="15" s="1"/>
  <c r="E433" i="15"/>
  <c r="F433" i="15" s="1"/>
  <c r="F42" i="63"/>
  <c r="F45" i="63" s="1"/>
  <c r="F69" i="63" s="1"/>
  <c r="F75" i="63" s="1"/>
  <c r="H7" i="55"/>
  <c r="E36" i="40"/>
  <c r="F36" i="40" s="1"/>
  <c r="E35" i="41"/>
  <c r="F35" i="41" s="1"/>
  <c r="E85" i="52"/>
  <c r="F85" i="52" s="1"/>
  <c r="E85" i="58"/>
  <c r="F85" i="58" s="1"/>
  <c r="E93" i="64"/>
  <c r="F93" i="64" s="1"/>
  <c r="E451" i="15"/>
  <c r="F432" i="15"/>
  <c r="F434" i="15" s="1"/>
  <c r="F435" i="15" s="1"/>
  <c r="E27" i="58"/>
  <c r="F27" i="58" s="1"/>
  <c r="F22" i="58"/>
  <c r="F21" i="69"/>
  <c r="E26" i="69"/>
  <c r="F26" i="69" s="1"/>
  <c r="E58" i="52"/>
  <c r="F58" i="52" s="1"/>
  <c r="E57" i="69"/>
  <c r="F57" i="69" s="1"/>
  <c r="E58" i="58"/>
  <c r="F58" i="58" s="1"/>
  <c r="E65" i="64"/>
  <c r="F65" i="64" s="1"/>
  <c r="F1063" i="71"/>
  <c r="F1065" i="71"/>
  <c r="F1070" i="71" s="1"/>
  <c r="F1071" i="71" s="1"/>
  <c r="E35" i="64"/>
  <c r="F35" i="64" s="1"/>
  <c r="F30" i="64"/>
  <c r="E24" i="67"/>
  <c r="F24" i="67" s="1"/>
  <c r="F78" i="67" s="1"/>
  <c r="F79" i="67" s="1"/>
  <c r="F22" i="67"/>
  <c r="E27" i="52"/>
  <c r="F27" i="52" s="1"/>
  <c r="F22" i="52"/>
  <c r="E457" i="15"/>
  <c r="F438" i="15"/>
  <c r="E57" i="58"/>
  <c r="F57" i="58" s="1"/>
  <c r="E64" i="64"/>
  <c r="F64" i="64" s="1"/>
  <c r="E56" i="69"/>
  <c r="F56" i="69" s="1"/>
  <c r="E57" i="52"/>
  <c r="F57" i="52" s="1"/>
  <c r="F829" i="39"/>
  <c r="F336" i="71" l="1"/>
  <c r="E506" i="71" s="1"/>
  <c r="F506" i="71" s="1"/>
  <c r="E339" i="71"/>
  <c r="F339" i="71" s="1"/>
  <c r="F338" i="71"/>
  <c r="F340" i="71" s="1"/>
  <c r="F341" i="71" s="1"/>
  <c r="E512" i="71" s="1"/>
  <c r="F512" i="71" s="1"/>
  <c r="F435" i="71"/>
  <c r="F437" i="71" s="1"/>
  <c r="F438" i="71" s="1"/>
  <c r="E454" i="71"/>
  <c r="E439" i="15"/>
  <c r="F439" i="15" s="1"/>
  <c r="F440" i="15" s="1"/>
  <c r="F441" i="15" s="1"/>
  <c r="E421" i="15"/>
  <c r="F421" i="15" s="1"/>
  <c r="F422" i="15" s="1"/>
  <c r="F423" i="15" s="1"/>
  <c r="E470" i="15"/>
  <c r="F470" i="15" s="1"/>
  <c r="E528" i="15"/>
  <c r="F528" i="15" s="1"/>
  <c r="E376" i="15"/>
  <c r="F376" i="15" s="1"/>
  <c r="F377" i="15" s="1"/>
  <c r="F378" i="15" s="1"/>
  <c r="F250" i="15"/>
  <c r="F251" i="15" s="1"/>
  <c r="E448" i="71"/>
  <c r="F429" i="71"/>
  <c r="F431" i="71" s="1"/>
  <c r="F432" i="71" s="1"/>
  <c r="F79" i="63"/>
  <c r="F77" i="63"/>
  <c r="E475" i="15"/>
  <c r="F457" i="15"/>
  <c r="F459" i="15" s="1"/>
  <c r="F460" i="15" s="1"/>
  <c r="E38" i="41"/>
  <c r="F38" i="41" s="1"/>
  <c r="F830" i="39"/>
  <c r="E469" i="15"/>
  <c r="F451" i="15"/>
  <c r="F453" i="15" s="1"/>
  <c r="F454" i="15" s="1"/>
  <c r="H11" i="55"/>
  <c r="H9" i="55"/>
  <c r="H8" i="55"/>
  <c r="E7" i="55"/>
  <c r="G7" i="55" s="1"/>
  <c r="F81" i="63" l="1"/>
  <c r="E476" i="15"/>
  <c r="F476" i="15" s="1"/>
  <c r="E382" i="15"/>
  <c r="F382" i="15" s="1"/>
  <c r="F383" i="15" s="1"/>
  <c r="F384" i="15" s="1"/>
  <c r="E533" i="15"/>
  <c r="F533" i="15" s="1"/>
  <c r="E38" i="52"/>
  <c r="F38" i="52" s="1"/>
  <c r="E46" i="64"/>
  <c r="F46" i="64" s="1"/>
  <c r="E38" i="58"/>
  <c r="F38" i="58" s="1"/>
  <c r="E37" i="69"/>
  <c r="F37" i="69" s="1"/>
  <c r="E472" i="71"/>
  <c r="F454" i="71"/>
  <c r="F456" i="71" s="1"/>
  <c r="F457" i="71" s="1"/>
  <c r="F448" i="71"/>
  <c r="F450" i="71" s="1"/>
  <c r="F451" i="71" s="1"/>
  <c r="E466" i="71"/>
  <c r="F85" i="63"/>
  <c r="F87" i="63" s="1"/>
  <c r="F83" i="63"/>
  <c r="E42" i="64"/>
  <c r="F42" i="64" s="1"/>
  <c r="E33" i="69"/>
  <c r="F33" i="69" s="1"/>
  <c r="E34" i="58"/>
  <c r="F34" i="58" s="1"/>
  <c r="E34" i="52"/>
  <c r="F34" i="52" s="1"/>
  <c r="E33" i="52"/>
  <c r="F33" i="52" s="1"/>
  <c r="E32" i="69"/>
  <c r="F32" i="69" s="1"/>
  <c r="E33" i="58"/>
  <c r="F33" i="58" s="1"/>
  <c r="E41" i="64"/>
  <c r="F41" i="64" s="1"/>
  <c r="E488" i="15"/>
  <c r="F469" i="15"/>
  <c r="F471" i="15" s="1"/>
  <c r="F472" i="15" s="1"/>
  <c r="E494" i="15"/>
  <c r="F475" i="15"/>
  <c r="F477" i="15" s="1"/>
  <c r="F478" i="15" s="1"/>
  <c r="E485" i="71" l="1"/>
  <c r="F466" i="71"/>
  <c r="F468" i="71" s="1"/>
  <c r="F469" i="71" s="1"/>
  <c r="E39" i="58"/>
  <c r="F39" i="58" s="1"/>
  <c r="E39" i="52"/>
  <c r="F39" i="52" s="1"/>
  <c r="E47" i="64"/>
  <c r="F47" i="64" s="1"/>
  <c r="E38" i="69"/>
  <c r="F38" i="69" s="1"/>
  <c r="F88" i="63"/>
  <c r="F89" i="63" s="1"/>
  <c r="F472" i="71"/>
  <c r="F474" i="71" s="1"/>
  <c r="F475" i="71" s="1"/>
  <c r="E491" i="71"/>
  <c r="E508" i="15"/>
  <c r="F488" i="15"/>
  <c r="F490" i="15" s="1"/>
  <c r="F491" i="15" s="1"/>
  <c r="E514" i="15"/>
  <c r="F494" i="15"/>
  <c r="F496" i="15" s="1"/>
  <c r="F497" i="15" s="1"/>
  <c r="F491" i="71" l="1"/>
  <c r="F493" i="71" s="1"/>
  <c r="F494" i="71" s="1"/>
  <c r="E511" i="71"/>
  <c r="F485" i="71"/>
  <c r="F487" i="71" s="1"/>
  <c r="F488" i="71" s="1"/>
  <c r="E505" i="71"/>
  <c r="F514" i="15"/>
  <c r="F516" i="15" s="1"/>
  <c r="F517" i="15" s="1"/>
  <c r="E532" i="15"/>
  <c r="F532" i="15" s="1"/>
  <c r="F534" i="15" s="1"/>
  <c r="E527" i="15"/>
  <c r="F527" i="15" s="1"/>
  <c r="F529" i="15" s="1"/>
  <c r="F508" i="15"/>
  <c r="F510" i="15" s="1"/>
  <c r="F511" i="15" s="1"/>
  <c r="E24" i="52"/>
  <c r="E32" i="64"/>
  <c r="E24" i="58"/>
  <c r="E23" i="69"/>
  <c r="E22" i="69"/>
  <c r="E31" i="64"/>
  <c r="E23" i="58"/>
  <c r="E23" i="52"/>
  <c r="E524" i="71" l="1"/>
  <c r="F524" i="71" s="1"/>
  <c r="F526" i="71" s="1"/>
  <c r="F505" i="71"/>
  <c r="F507" i="71" s="1"/>
  <c r="F508" i="71" s="1"/>
  <c r="F511" i="71"/>
  <c r="F513" i="71" s="1"/>
  <c r="F514" i="71" s="1"/>
  <c r="E529" i="71"/>
  <c r="F529" i="71" s="1"/>
  <c r="F531" i="71" s="1"/>
  <c r="E28" i="58"/>
  <c r="F28" i="58" s="1"/>
  <c r="F23" i="58"/>
  <c r="E29" i="52"/>
  <c r="F29" i="52" s="1"/>
  <c r="F24" i="52"/>
  <c r="E44" i="52"/>
  <c r="F44" i="52" s="1"/>
  <c r="E44" i="58"/>
  <c r="F44" i="58" s="1"/>
  <c r="E51" i="64"/>
  <c r="F51" i="64" s="1"/>
  <c r="E43" i="69"/>
  <c r="F43" i="69" s="1"/>
  <c r="F22" i="69"/>
  <c r="E27" i="69"/>
  <c r="F27" i="69" s="1"/>
  <c r="F24" i="58"/>
  <c r="E29" i="58"/>
  <c r="F29" i="58" s="1"/>
  <c r="E28" i="52"/>
  <c r="F28" i="52" s="1"/>
  <c r="F23" i="52"/>
  <c r="E36" i="64"/>
  <c r="F36" i="64" s="1"/>
  <c r="F31" i="64"/>
  <c r="E28" i="69"/>
  <c r="F28" i="69" s="1"/>
  <c r="F23" i="69"/>
  <c r="E37" i="64"/>
  <c r="F37" i="64" s="1"/>
  <c r="F32" i="64"/>
  <c r="F107" i="69" l="1"/>
  <c r="F108" i="69" s="1"/>
  <c r="F113" i="58"/>
  <c r="F114" i="58" s="1"/>
  <c r="F43" i="63" l="1"/>
  <c r="F115" i="58"/>
  <c r="H14" i="55"/>
  <c r="H15" i="55" l="1"/>
  <c r="E14" i="55"/>
  <c r="H16" i="55"/>
  <c r="H17" i="55" l="1"/>
  <c r="H18" i="55" s="1"/>
  <c r="G14" i="55"/>
  <c r="E21" i="55"/>
  <c r="E27" i="55" l="1"/>
  <c r="G21" i="55"/>
  <c r="H21" i="55" s="1"/>
  <c r="G27" i="55" l="1"/>
  <c r="H27" i="55" s="1"/>
  <c r="E33" i="55"/>
  <c r="G33" i="55" s="1"/>
  <c r="H33" i="55" s="1"/>
  <c r="H22" i="55"/>
  <c r="H24" i="55" s="1"/>
  <c r="H23" i="55"/>
  <c r="H29" i="55" l="1"/>
  <c r="H28" i="55"/>
  <c r="H30" i="55" s="1"/>
  <c r="H44" i="55" s="1"/>
  <c r="H35" i="55"/>
  <c r="H34" i="55"/>
  <c r="H36" i="55" s="1"/>
  <c r="H48" i="55" l="1"/>
  <c r="H46" i="55"/>
  <c r="H50" i="55" s="1"/>
  <c r="H57" i="55" l="1"/>
  <c r="H58" i="55" s="1"/>
  <c r="H52" i="55"/>
</calcChain>
</file>

<file path=xl/sharedStrings.xml><?xml version="1.0" encoding="utf-8"?>
<sst xmlns="http://schemas.openxmlformats.org/spreadsheetml/2006/main" count="8837" uniqueCount="1963">
  <si>
    <t>Binding wire</t>
  </si>
  <si>
    <t>Labour for closed deep chiping and cleaning</t>
  </si>
  <si>
    <t>Tiles</t>
  </si>
  <si>
    <t>Rate per 1 Sqm</t>
  </si>
  <si>
    <t>Data for 10 Sqm</t>
  </si>
  <si>
    <t>LABOUR FOR PAINTING</t>
  </si>
  <si>
    <t>Painter special</t>
  </si>
  <si>
    <t>Man mulia for preparation of surface</t>
  </si>
  <si>
    <t>Add cost of paint</t>
  </si>
  <si>
    <t>Lit</t>
  </si>
  <si>
    <t>LABOUR FOR PRIMER</t>
  </si>
  <si>
    <t>Data for 9.30 Sqm</t>
  </si>
  <si>
    <t>Add cost of primer</t>
  </si>
  <si>
    <t xml:space="preserve">Total Rate per 1 Sqm </t>
  </si>
  <si>
    <t>(Details for 10 Sqm.)</t>
  </si>
  <si>
    <t>1.857</t>
  </si>
  <si>
    <t>0.44</t>
  </si>
  <si>
    <t>2.16</t>
  </si>
  <si>
    <t>Kg</t>
  </si>
  <si>
    <t>DESCRIPTION</t>
  </si>
  <si>
    <t>RATE</t>
  </si>
  <si>
    <t>UNIT</t>
  </si>
  <si>
    <t>AMOUNT</t>
  </si>
  <si>
    <t xml:space="preserve"> </t>
  </si>
  <si>
    <t>Each</t>
  </si>
  <si>
    <t>Cum</t>
  </si>
  <si>
    <t>Mate</t>
  </si>
  <si>
    <t>Man mulia</t>
  </si>
  <si>
    <t>Materials</t>
  </si>
  <si>
    <t>LS</t>
  </si>
  <si>
    <t>-------------</t>
  </si>
  <si>
    <t>Mtr</t>
  </si>
  <si>
    <t>Sqm</t>
  </si>
  <si>
    <t>Cement 33 grade</t>
  </si>
  <si>
    <t>Cost of Ceramic tile.</t>
  </si>
  <si>
    <t>Cement Concrete (1:3:6) with 4cm. size hard granite metal.</t>
  </si>
  <si>
    <t>4.7mm chips</t>
  </si>
  <si>
    <t>A</t>
  </si>
  <si>
    <t>B</t>
  </si>
  <si>
    <t>C</t>
  </si>
  <si>
    <t>Non-sal wood scantling</t>
  </si>
  <si>
    <t>1 Mtr.</t>
  </si>
  <si>
    <t>Carriage of wood</t>
  </si>
  <si>
    <t>1 Cu.M.</t>
  </si>
  <si>
    <t>Carpenter (2nd class)</t>
  </si>
  <si>
    <t>2.75</t>
  </si>
  <si>
    <t>Data for 10 Sqm.</t>
  </si>
  <si>
    <t>Painter  (special)</t>
  </si>
  <si>
    <t>Male mulia for preparing the surface.</t>
  </si>
  <si>
    <t>0.10</t>
  </si>
  <si>
    <t>Cost per Sq.m</t>
  </si>
  <si>
    <t>Mulia</t>
  </si>
  <si>
    <t>Details of cost for one number</t>
  </si>
  <si>
    <t>Qtl</t>
  </si>
  <si>
    <t>R &amp; C of Sand</t>
  </si>
  <si>
    <t>R &amp; C of Metal</t>
  </si>
  <si>
    <t>No</t>
  </si>
  <si>
    <t>Pair</t>
  </si>
  <si>
    <t>Mason</t>
  </si>
  <si>
    <t>Providing and laying GLAZED TILES of any approved make &amp; shade in flooring on a bed of 12mm thick cement mortar 1:3 (1 Cement :3 Coarse sand) finished with flush pointing in white cement &amp; pigment to match the shade of the tiles.</t>
  </si>
  <si>
    <t xml:space="preserve">Rate per 1 Sqm. </t>
  </si>
  <si>
    <t>Semi skilled labour</t>
  </si>
  <si>
    <t>NO</t>
  </si>
  <si>
    <t>Supplying all materials, labour, T&amp;P and fixing mirror of superior glass  mounted on 6mm thick A.C sheet or plywood sheet and fixed to wooden  plugs with CP screws and washers complete as per specification and direction of the Engineer in charge</t>
  </si>
  <si>
    <t>Nos</t>
  </si>
  <si>
    <t>Labour charges  for laying</t>
  </si>
  <si>
    <t>Labour charges  for Jointing &amp; Testing</t>
  </si>
  <si>
    <t xml:space="preserve">Rate per metre </t>
  </si>
  <si>
    <t>Data for 30nos</t>
  </si>
  <si>
    <t>Qntl</t>
  </si>
  <si>
    <t>Ground Floor</t>
  </si>
  <si>
    <t>First Floor</t>
  </si>
  <si>
    <t>20mm dia</t>
  </si>
  <si>
    <t>Providing and laying in trench cement concrete ( 1:4:8 ) with 40mm size hard granite metal in the following type of bedding for 100mm pvc pipes of the following internal diameter including curing complete as per specification</t>
  </si>
  <si>
    <t>Details of cost for one chamber</t>
  </si>
  <si>
    <t>Trench depth upto 1.20metres</t>
  </si>
  <si>
    <t>Details of cost for 10 metres</t>
  </si>
  <si>
    <t>10mx0.424mx0.112m</t>
  </si>
  <si>
    <t>(Plaster  ** + Punning ** ) =</t>
  </si>
  <si>
    <t>Back filling</t>
  </si>
  <si>
    <t>Details for 10sqm.</t>
  </si>
  <si>
    <t>non-sal planks (Tentra,Kassi,Gamhari)</t>
  </si>
  <si>
    <t>0.267</t>
  </si>
  <si>
    <t xml:space="preserve">Non sal bullah 80 mm dia for shuttering </t>
  </si>
  <si>
    <t>38 mm. thick non-sal plank</t>
  </si>
  <si>
    <t>Non Sal bullahs 120 mm dia</t>
  </si>
  <si>
    <t>Mtrs.</t>
  </si>
  <si>
    <t>Rm</t>
  </si>
  <si>
    <t>Truck</t>
  </si>
  <si>
    <t>Material</t>
  </si>
  <si>
    <t>Name of quarry</t>
  </si>
  <si>
    <t>Lead in K.M</t>
  </si>
  <si>
    <t>Cost of Material</t>
  </si>
  <si>
    <t>Rate of Lead</t>
  </si>
  <si>
    <t>Royalty</t>
  </si>
  <si>
    <t>Total cost of material</t>
  </si>
  <si>
    <t>Unit</t>
  </si>
  <si>
    <t>Lead and Royality</t>
  </si>
  <si>
    <t>H.G Metal</t>
  </si>
  <si>
    <t>per cum</t>
  </si>
  <si>
    <t>/cum</t>
  </si>
  <si>
    <t>2cm size</t>
  </si>
  <si>
    <t>H.G chips</t>
  </si>
  <si>
    <t>12mm chips</t>
  </si>
  <si>
    <t>Sand</t>
  </si>
  <si>
    <t>Filling sand</t>
  </si>
  <si>
    <t>per no</t>
  </si>
  <si>
    <t>/1000</t>
  </si>
  <si>
    <t>per qtl</t>
  </si>
  <si>
    <t>/qntl</t>
  </si>
  <si>
    <t>HYSD Rod</t>
  </si>
  <si>
    <t>Labour</t>
  </si>
  <si>
    <t>1</t>
  </si>
  <si>
    <t>Male mulia</t>
  </si>
  <si>
    <t>Per day</t>
  </si>
  <si>
    <t>Female mulia</t>
  </si>
  <si>
    <t>of Rs.</t>
  </si>
  <si>
    <t>Total</t>
  </si>
  <si>
    <t>For excavation of foundation add 20% extra over the above rates</t>
  </si>
  <si>
    <t>Grand total</t>
  </si>
  <si>
    <t>Say</t>
  </si>
  <si>
    <t>Filling in Foundation and plinth with sand watered and rammed (Labour &amp; material)</t>
  </si>
  <si>
    <t>Sand For filling</t>
  </si>
  <si>
    <t>Cu.M.</t>
  </si>
  <si>
    <t>CARRIAGE &amp; CONVEYANCE COST</t>
  </si>
  <si>
    <t>1.8</t>
  </si>
  <si>
    <t>0.45</t>
  </si>
  <si>
    <t>Qntl.</t>
  </si>
  <si>
    <t>--------------</t>
  </si>
  <si>
    <t>Cement Concrete (1:4:8) with 4cm. size hard granite metal.</t>
  </si>
  <si>
    <t>1 Cum.</t>
  </si>
  <si>
    <t>MATERIALS</t>
  </si>
  <si>
    <t>Crusher Broken granite metal 4cm size</t>
  </si>
  <si>
    <t>0.96</t>
  </si>
  <si>
    <t>Screened Sand</t>
  </si>
  <si>
    <t>0.48</t>
  </si>
  <si>
    <t>Cement 53 grade</t>
  </si>
  <si>
    <t>LABOUR</t>
  </si>
  <si>
    <t>Mason 2nd class</t>
  </si>
  <si>
    <t>0.18</t>
  </si>
  <si>
    <t>1.40</t>
  </si>
  <si>
    <t>Crusher Broken granite chips 12mm size</t>
  </si>
  <si>
    <t>0.90</t>
  </si>
  <si>
    <t>Sand (Screened &amp; Washed)</t>
  </si>
  <si>
    <t>3.23</t>
  </si>
  <si>
    <t>Mason (2nd Class)</t>
  </si>
  <si>
    <t>0.68</t>
  </si>
  <si>
    <t>1.4</t>
  </si>
  <si>
    <t>Male mulia for mixing stone , sand &amp; cement and getting water</t>
  </si>
  <si>
    <t>0.9</t>
  </si>
  <si>
    <t>MATERIALS:</t>
  </si>
  <si>
    <t>Sand (screened &amp; washed)</t>
  </si>
  <si>
    <t>LABOUR:</t>
  </si>
  <si>
    <t>Mason (2nd class)</t>
  </si>
  <si>
    <t>Semi Skilled Mulia</t>
  </si>
  <si>
    <t>Mason special</t>
  </si>
  <si>
    <t>Man mulia for mixing stone,sand and cement and getting water</t>
  </si>
  <si>
    <t>Rate of ground floor</t>
  </si>
  <si>
    <t>Male worker</t>
  </si>
  <si>
    <t>Rate of Plaster for Ground floor</t>
  </si>
  <si>
    <t>Providing and laying CERAMIC TILES  of any approved make &amp; shade in flooring on a bed of 25mm thick cement mortar 1:1 (1 Cement :1 Coarse sand) finished with flush pointing in white cement &amp; pigment to match the shade of the tiles.G floor</t>
  </si>
  <si>
    <t>1 Sqm.</t>
  </si>
  <si>
    <t>Sand (Screened &amp; washed)</t>
  </si>
  <si>
    <t>0.13</t>
  </si>
  <si>
    <t>0.11</t>
  </si>
  <si>
    <t>1 Sqm</t>
  </si>
  <si>
    <t>0.02</t>
  </si>
  <si>
    <t>0.018</t>
  </si>
  <si>
    <t>0.043</t>
  </si>
  <si>
    <t>Male mulia for mixing sand and cement in small quantities and watering</t>
  </si>
  <si>
    <t>0.16</t>
  </si>
  <si>
    <t>10mm chips</t>
  </si>
  <si>
    <t>SL NO</t>
  </si>
  <si>
    <t>QTY</t>
  </si>
  <si>
    <t>Hour</t>
  </si>
  <si>
    <t xml:space="preserve">Considering 10 times use of the materials, for use once </t>
  </si>
  <si>
    <t>Supply M.S. reinforcement for R.C.C. work including cutting, bending, binding and tying the grills and placing in position including cost of reinforcement and binding wire 18 to 20 gauge. For ground floor</t>
  </si>
  <si>
    <t>Rate per 1 Cum</t>
  </si>
  <si>
    <t>Cement</t>
  </si>
  <si>
    <t>Cement for 0.12cum cement concrete</t>
  </si>
  <si>
    <t xml:space="preserve">Metal                                                   </t>
  </si>
  <si>
    <t xml:space="preserve">Plumber fitter/mason                            </t>
  </si>
  <si>
    <t xml:space="preserve">Male worker                                                             </t>
  </si>
  <si>
    <t xml:space="preserve">Watering charges 1%                                                              </t>
  </si>
  <si>
    <t>Fixing of 10 lit flushing cistern</t>
  </si>
  <si>
    <t xml:space="preserve">Plumber fitter/Mason   </t>
  </si>
  <si>
    <t xml:space="preserve">Male worker </t>
  </si>
  <si>
    <t xml:space="preserve">Mason                   </t>
  </si>
  <si>
    <t>Watering charges 1%</t>
  </si>
  <si>
    <t xml:space="preserve">Cast iron or M.S bracket </t>
  </si>
  <si>
    <t xml:space="preserve">C.P screws,washers and wooden plugs etc               </t>
  </si>
  <si>
    <t xml:space="preserve">White cement finish on cement mortar joint               </t>
  </si>
  <si>
    <t xml:space="preserve">Plumber fitter/mason                                    </t>
  </si>
  <si>
    <t xml:space="preserve">Male worker                                                   </t>
  </si>
  <si>
    <t xml:space="preserve">Watering charges 1% </t>
  </si>
  <si>
    <t xml:space="preserve">Plumber fitter      </t>
  </si>
  <si>
    <t xml:space="preserve">Male worker                              </t>
  </si>
  <si>
    <t xml:space="preserve">25mm CP screws </t>
  </si>
  <si>
    <t>Wooden plugs ( specified size )</t>
  </si>
  <si>
    <t xml:space="preserve">Rubber buffers </t>
  </si>
  <si>
    <t xml:space="preserve">Cement,sand and chips      </t>
  </si>
  <si>
    <t xml:space="preserve">Carpenter                                            </t>
  </si>
  <si>
    <t xml:space="preserve">Male worker  </t>
  </si>
  <si>
    <t xml:space="preserve">Wooden plugs ( specified size ) </t>
  </si>
  <si>
    <t xml:space="preserve">Carpenter                                         </t>
  </si>
  <si>
    <t xml:space="preserve">Male worker        </t>
  </si>
  <si>
    <t xml:space="preserve">Carpenter   </t>
  </si>
  <si>
    <t xml:space="preserve">Male worker    </t>
  </si>
  <si>
    <t xml:space="preserve">Plumber fitter </t>
  </si>
  <si>
    <t>Helper to Plumber Fitter</t>
  </si>
  <si>
    <t>Plumber Fitter</t>
  </si>
  <si>
    <t>Details of cost for 10 metres.</t>
  </si>
  <si>
    <t>Rate per metre</t>
  </si>
  <si>
    <t>D</t>
  </si>
  <si>
    <t xml:space="preserve">Add watering charges 1% </t>
  </si>
  <si>
    <t xml:space="preserve">Helper to plumber/ fitter                 </t>
  </si>
  <si>
    <t xml:space="preserve">Jointing materials etc 2% </t>
  </si>
  <si>
    <t xml:space="preserve">Plumber fitter (S)                                          </t>
  </si>
  <si>
    <t xml:space="preserve">Plumber fitter (S)  </t>
  </si>
  <si>
    <t xml:space="preserve">Helper to plumber/ fitter                </t>
  </si>
  <si>
    <t>Male Worker</t>
  </si>
  <si>
    <t>100mm diameter</t>
  </si>
  <si>
    <t>Providing and fixing square mouth S.W gully trap, brick masonry chamber of size 250mmx250mm with CI cover complete as per approved specification and direction of the Engineer in charge</t>
  </si>
  <si>
    <t>Bed= 0.65mx0.65mx0.10m  = 0.042 cum</t>
  </si>
  <si>
    <t xml:space="preserve">Deduct                                          (-)  0.014 cum      </t>
  </si>
  <si>
    <t>1.48mx0.12mx0.675m</t>
  </si>
  <si>
    <t>1/2x0.358mx(1.00m+0.4m)</t>
  </si>
  <si>
    <t xml:space="preserve">R.C.C precast cover slab in(1:2:4) </t>
  </si>
  <si>
    <t>0.5mx0.5mx0.08m</t>
  </si>
  <si>
    <t>M.S reinforcement @ 0.70Qtl/cum(8mm@ 100mm c/c both ways) including cutting, bending, binding and tying the grills including cost of binding wire</t>
  </si>
  <si>
    <t>0.02x0.7=0.014Qtl</t>
  </si>
  <si>
    <t>Earthwork in excavation in all kinds of soil within initial lead and lift and refilling</t>
  </si>
  <si>
    <t>Excavation of foundation including dressing and levelling the bed and depositing the soil within 50m. initial lead and 1.5m.initial lift including rough dressing and breaking clods to maximum 5cm. to 7cm. and laying in layer</t>
  </si>
  <si>
    <t>Ordinary soil</t>
  </si>
  <si>
    <t>R &amp; C of Cement</t>
  </si>
  <si>
    <t xml:space="preserve">Jointing trap with soil pipe               </t>
  </si>
  <si>
    <t xml:space="preserve">Lead, paint, yarn, cement, sand, wooden plugs ,screws etc  </t>
  </si>
  <si>
    <t>Supplying all materials, labour, T&amp;P and fixing standard sized  CP soap case complete with CP brass brackets fixed to wooden plugs   with CP screws as per specification and direction of the Engineer in charge</t>
  </si>
  <si>
    <t>15mm dia</t>
  </si>
  <si>
    <t>Plumber(Fitter)(S)</t>
  </si>
  <si>
    <t xml:space="preserve">Male worker               </t>
  </si>
  <si>
    <t>25mm dia</t>
  </si>
  <si>
    <t>Details for 10nos of CP stop cocks</t>
  </si>
  <si>
    <t>Around trap=0.25mx0.25mx0.675m=0.042 cum</t>
  </si>
  <si>
    <t xml:space="preserve">                                                    0.084 cum</t>
  </si>
  <si>
    <t xml:space="preserve">                                                    0.07 cum</t>
  </si>
  <si>
    <t>Cement concrete 1:4:8 with granite material</t>
  </si>
  <si>
    <t>PCC 1:2:4 with 12mm nominal size benching</t>
  </si>
  <si>
    <t>R C C  1:2:4  with 20mm dia naminal size  stone aggregrate for  slab</t>
  </si>
  <si>
    <t>M.S. Rainforcement  bar  10mm dia  for  steel 10 cm c/c  both way  in slab</t>
  </si>
  <si>
    <t xml:space="preserve">Extra  labour  for   making channel </t>
  </si>
  <si>
    <t>Masson  (spacial)</t>
  </si>
  <si>
    <t>Masson( 2nd class)</t>
  </si>
  <si>
    <t>1.68x1.68x0.76</t>
  </si>
  <si>
    <t>PCC 1:3:6 with 40mm nominal size hard granite metal</t>
  </si>
  <si>
    <t>1.57x1.57x1.15</t>
  </si>
  <si>
    <t>PCC 1:2:4 with 12mm nominal size hard granite chips</t>
  </si>
  <si>
    <t>0.76x0.76x0.15</t>
  </si>
  <si>
    <t>4.06x0.25x1.46</t>
  </si>
  <si>
    <t>12mm plaster (1:3)</t>
  </si>
  <si>
    <t>Cement punning</t>
  </si>
  <si>
    <t>Cement flush pointing (1:3)</t>
  </si>
  <si>
    <t xml:space="preserve">Centering  &amp;shuttering  for  R C C work  </t>
  </si>
  <si>
    <t>M.S. Rainforcement</t>
  </si>
  <si>
    <t>Cutting holes for taking Pipes through 250mm thick wall</t>
  </si>
  <si>
    <t>Bricks</t>
  </si>
  <si>
    <t>Labour Charges</t>
  </si>
  <si>
    <t>Second Floor</t>
  </si>
  <si>
    <t>Rate of concrete of Ground Floor</t>
  </si>
  <si>
    <t>1 Mtr</t>
  </si>
  <si>
    <t>Laterite stone</t>
  </si>
  <si>
    <t xml:space="preserve">Rate of concrete  </t>
  </si>
  <si>
    <t>Rate of shuttering</t>
  </si>
  <si>
    <t>Helper to plumber</t>
  </si>
  <si>
    <t>------------</t>
  </si>
  <si>
    <t>Add 15% extra labour for 1st floor</t>
  </si>
  <si>
    <t>Add 15% extra labour for 2nd floor</t>
  </si>
  <si>
    <t>Add 20% extra for 1st floor</t>
  </si>
  <si>
    <t>Rate of 1st floor</t>
  </si>
  <si>
    <t>Add 20% extra for 2nd floor</t>
  </si>
  <si>
    <t>Add 5% extra labour for 1st floor</t>
  </si>
  <si>
    <t>Add 3% extra labour for 1st floor</t>
  </si>
  <si>
    <t>Add 3% extra labour for 2nd floor</t>
  </si>
  <si>
    <t>Rate of Plaster for 1st floor</t>
  </si>
  <si>
    <t>Data for 4.2 Sqm.</t>
  </si>
  <si>
    <t>non sal plank (Tentra,Kassi,Gamhari)</t>
  </si>
  <si>
    <t xml:space="preserve">Sa lbullahs 120 mm dia </t>
  </si>
  <si>
    <t>Sal bullahs 80 mm dia  for bracing.</t>
  </si>
  <si>
    <t>Rate per 1 Sqm.</t>
  </si>
  <si>
    <t>Rigid and smooth centering and shuttering for R.C.C works including false works and dismantling then after casting including cost of materials complete.   For R.C.C stairs excluding landing but including railing for ground floor</t>
  </si>
  <si>
    <t>Details for 5 sqm.</t>
  </si>
  <si>
    <t>Details for 23.90 sqm.</t>
  </si>
  <si>
    <t>LABOUR FOR ENAMEL PAINT</t>
  </si>
  <si>
    <t>G Total</t>
  </si>
  <si>
    <t>Synthetic enamel painting two coats over one coat of primer on steel surface</t>
  </si>
  <si>
    <t>Providing and fixing Ultra/Eurocon tiles in floor treads or steps and landing on 25 mm thick bed of cement mortar 1:1 (1cement:1sand) jointed with neat cement slurry mixed with pigments to match the shade of the tiles including rubbing and polishing complete for porch.</t>
  </si>
  <si>
    <t>Cost of  tile.</t>
  </si>
  <si>
    <t>1 Cum</t>
  </si>
  <si>
    <t>Carpenter 2nd class</t>
  </si>
  <si>
    <t>Mason (Special)</t>
  </si>
  <si>
    <t>Westage 5%</t>
  </si>
  <si>
    <t xml:space="preserve">PVC plug </t>
  </si>
  <si>
    <t>Nos.</t>
  </si>
  <si>
    <t>Al. Screws of different sizes</t>
  </si>
  <si>
    <t>U rubber beading</t>
  </si>
  <si>
    <t>Al. wheel runner</t>
  </si>
  <si>
    <t>Handle with lock</t>
  </si>
  <si>
    <t>Hire charges of drills machine</t>
  </si>
  <si>
    <t>Day</t>
  </si>
  <si>
    <t>5mm thick black glass</t>
  </si>
  <si>
    <t>Westage 10%</t>
  </si>
  <si>
    <t>Carpenter 1st class</t>
  </si>
  <si>
    <t>Helper to carpenter</t>
  </si>
  <si>
    <t>Man Mulia</t>
  </si>
  <si>
    <t>RCC work M 20 grade with 20mm and down grade black granite crusher broken stone chips including hoisting and laying with centring and shuttering for roof slab</t>
  </si>
  <si>
    <t>Stone Dust</t>
  </si>
  <si>
    <t>Moorum</t>
  </si>
  <si>
    <t>Rate of concrete of 1st Floor</t>
  </si>
  <si>
    <t>Rate of Ground floor</t>
  </si>
  <si>
    <t xml:space="preserve">Plumber fitter (S)                                                </t>
  </si>
  <si>
    <t xml:space="preserve">Helper to plumber/ fitter                            </t>
  </si>
  <si>
    <t>Construction of Inspection chamber of inside size 760x760x460mm</t>
  </si>
  <si>
    <t>Overhead charges @ 7.5%</t>
  </si>
  <si>
    <t>Contractor's profit @ 7.5%</t>
  </si>
  <si>
    <t>Earthwork in Excavation</t>
  </si>
  <si>
    <t>Sand Filling</t>
  </si>
  <si>
    <t>P.C.C (1:3:6)</t>
  </si>
  <si>
    <t>Reinforcement</t>
  </si>
  <si>
    <t>Outside painting two coats with weather shield paint over a coat of oil bound primer for ground floor</t>
  </si>
  <si>
    <t>Painter 2nd class</t>
  </si>
  <si>
    <t>Synthetic putty</t>
  </si>
  <si>
    <t>Rate for ground floor</t>
  </si>
  <si>
    <t>White cement</t>
  </si>
  <si>
    <t>Cost for ground floor</t>
  </si>
  <si>
    <t>Add 5% extra labour for 1st floor @ 5% extra labour for over and above next lower floor</t>
  </si>
  <si>
    <t>Cost for first floor</t>
  </si>
  <si>
    <t>Add 5% extra labour for 2nd floor @ 5% extra labour for over and above next lower floor</t>
  </si>
  <si>
    <t>Rate per sqm</t>
  </si>
  <si>
    <t>Friction stay</t>
  </si>
  <si>
    <t>Rate per Kg</t>
  </si>
  <si>
    <t>Carpenter special</t>
  </si>
  <si>
    <t>Khandolite Stone</t>
  </si>
  <si>
    <t xml:space="preserve">Providing and installing vitreous china flat back urinal with automati flushing cistern complete.           </t>
  </si>
  <si>
    <t xml:space="preserve">Providing , hoisting and fixing 1000lit capacity PVC   ISI  SYNTEX water tank         </t>
  </si>
  <si>
    <t>1000litre tanks</t>
  </si>
  <si>
    <t>Details of cost for one Tank</t>
  </si>
  <si>
    <t>Labour charges</t>
  </si>
  <si>
    <t>Plumber fitter (S)</t>
  </si>
  <si>
    <t>Helper to plumber/ fitter</t>
  </si>
  <si>
    <t>Lead, paint and yarn</t>
  </si>
  <si>
    <t>Sqm.</t>
  </si>
  <si>
    <t>Add wastage @5%.</t>
  </si>
  <si>
    <t>Rate of First floor</t>
  </si>
  <si>
    <t>Wooden plug,clamps and cement etc @ 3%</t>
  </si>
  <si>
    <t>Tube fittings &amp; wastage  15%</t>
  </si>
  <si>
    <t>Scaffolding @ 10%</t>
  </si>
  <si>
    <t>Septic Tank 30 user</t>
  </si>
  <si>
    <t>Additional lift</t>
  </si>
  <si>
    <t>P.c.C (1:2:4)</t>
  </si>
  <si>
    <t xml:space="preserve">KB Brickwork </t>
  </si>
  <si>
    <t>R.C.C (1:2:4)</t>
  </si>
  <si>
    <t>12mm plaster (1:4) with punning</t>
  </si>
  <si>
    <t>16mm plaster</t>
  </si>
  <si>
    <t>Baffle wall</t>
  </si>
  <si>
    <t>OMS step iron</t>
  </si>
  <si>
    <t>HCI vent pipe</t>
  </si>
  <si>
    <t>Steel Reinforcement</t>
  </si>
  <si>
    <t>Earthwork in excavation in open well</t>
  </si>
  <si>
    <t>Earthwork in excavation in open well in extra lift</t>
  </si>
  <si>
    <t>KB Brickwork in dry wellsteining</t>
  </si>
  <si>
    <t>1st class KB brickwork in wellsteining</t>
  </si>
  <si>
    <t>Gravel backing</t>
  </si>
  <si>
    <t>Refilling with excavated materials</t>
  </si>
  <si>
    <t>40 MM size</t>
  </si>
  <si>
    <t xml:space="preserve">ANALYSIS OF RATES </t>
  </si>
  <si>
    <t xml:space="preserve">Supplying fitting, fixing fully glazed aluminum framed open able windows using15 micron anodized OEL aluminum section 2082 as out section, 9139 as mullion section, 4124 as a shutter section frame with tapered clip of section 4125, aluminum angle , rubber beading, friction stay and handle etc. with 5mm black glass. </t>
  </si>
  <si>
    <t xml:space="preserve">Outer Al. Section No 2082   </t>
  </si>
  <si>
    <t>Mtr.</t>
  </si>
  <si>
    <t>Kg/Mtr.=</t>
  </si>
  <si>
    <t>Kg.</t>
  </si>
  <si>
    <t xml:space="preserve">Mullion Sec.No 9139    </t>
  </si>
  <si>
    <t>Shutter Sec.No 4124</t>
  </si>
  <si>
    <t xml:space="preserve">Tappered clip Al. Sec. No 4125  </t>
  </si>
  <si>
    <t xml:space="preserve">Al. angle Section No 1855   </t>
  </si>
  <si>
    <t>Rs.</t>
  </si>
  <si>
    <t>U Rubber beads</t>
  </si>
  <si>
    <t>M</t>
  </si>
  <si>
    <t xml:space="preserve">Handle </t>
  </si>
  <si>
    <t>/sqm</t>
  </si>
  <si>
    <t>PVC Rawl plug</t>
  </si>
  <si>
    <t>Al. Screws of diff. Sizes</t>
  </si>
  <si>
    <t>day</t>
  </si>
  <si>
    <t>Rate per 2.23 Sqm</t>
  </si>
  <si>
    <t>/2.23 sqm</t>
  </si>
  <si>
    <t xml:space="preserve">Rate per Sqm.  =   </t>
  </si>
  <si>
    <t>/Kg =</t>
  </si>
  <si>
    <t>/Mtr =.</t>
  </si>
  <si>
    <t>/Each =</t>
  </si>
  <si>
    <t>/sqm =</t>
  </si>
  <si>
    <t>/each =</t>
  </si>
  <si>
    <t xml:space="preserve">O.H.C 15% </t>
  </si>
  <si>
    <t>Data for 6'-0" x 4'-0" = 24 Sft or 2.23 Sqm</t>
  </si>
  <si>
    <t>B.</t>
  </si>
  <si>
    <t>CIVIL WORKS</t>
  </si>
  <si>
    <t>nos.</t>
  </si>
  <si>
    <t>Supplying and filling in foundation trenches and plinth, ditches with sand well watered and rammed in layers not exceeding 23 cm. In depth with all lead and lift including cost, conveyance, loading, unloading, royalties and taxes of all materials, cost of all labour, sundries, T&amp;P required for the work etc. complete in all respect as directed by the Engineer-in-Charge. Measurement will be taken on finished compacted section only).</t>
  </si>
  <si>
    <t>Providing and laying P.C.C. (1:3:6) in foundation trench and below flooring using 40mm down graded  chrusher broken  HG Metal, including compaction, curing including cost of all materials and labour etc. complete as per direction of Engineer- In -Charge.</t>
  </si>
  <si>
    <t>Sl. No.</t>
  </si>
  <si>
    <t>Description of item</t>
  </si>
  <si>
    <t>No.</t>
  </si>
  <si>
    <t>Length</t>
  </si>
  <si>
    <t>Breadth</t>
  </si>
  <si>
    <t>Height</t>
  </si>
  <si>
    <t>Quantity</t>
  </si>
  <si>
    <t>Earth Work in Excavation</t>
  </si>
  <si>
    <t>2 Pile Group</t>
  </si>
  <si>
    <t>Tie Beam</t>
  </si>
  <si>
    <t>P.C.C</t>
  </si>
  <si>
    <t>Pile</t>
  </si>
  <si>
    <t>Column</t>
  </si>
  <si>
    <t>qntl.</t>
  </si>
  <si>
    <t>R.C.C (Below ground)</t>
  </si>
  <si>
    <t>R.C.C (Above ground)</t>
  </si>
  <si>
    <t>Foundation</t>
  </si>
  <si>
    <t>I</t>
  </si>
  <si>
    <t>II</t>
  </si>
  <si>
    <t>TOTAL</t>
  </si>
  <si>
    <t>Excavation in ordinary soil for foundation including dressing and levelling the bed and depositing the soil within 50m. initial lead and 1.5m.initial lift including rough dressing and breaking clods to maximum 5cm. to 7cm. and laying in layer</t>
  </si>
  <si>
    <t>Filling Foundation and plinth with excavated  ordinary soil etc complete.</t>
  </si>
  <si>
    <t>Add Labour cess 1%</t>
  </si>
  <si>
    <t>Single under reamed pile</t>
  </si>
  <si>
    <t>a)     Labour</t>
  </si>
  <si>
    <t>cum</t>
  </si>
  <si>
    <t>/ cum</t>
  </si>
  <si>
    <t>Rmt</t>
  </si>
  <si>
    <t>Fixing of interlocking blocks of 75mm thick of approved pattern &amp; shade over 75mm thick bed of sand.</t>
  </si>
  <si>
    <t>Labour cost( same as Rough stone Dry Packing) (Refer Item No  13 ,Page No-79, A/R-2006-Revised)</t>
  </si>
  <si>
    <t>a) Sand filling (1.00x.05=0.05Cum)</t>
  </si>
  <si>
    <t>b) Interlocking Blocks</t>
  </si>
  <si>
    <t>Packer</t>
  </si>
  <si>
    <t>15% (O.H.C+ Contractors Profit)</t>
  </si>
  <si>
    <t>Conveyance</t>
  </si>
  <si>
    <t>Paver Block</t>
  </si>
  <si>
    <t>Add for Labour Cess @1%</t>
  </si>
  <si>
    <t>Providing &amp; fittiing up of fixed ventilator/fixed windows / partition walling  using OEL  aluminum anodized section No.9210 &amp;9207 as single groov and double groov respectively as horizontal &amp;vertical member and OEL section 4660 as Tapered clip for fixing up of 5mm thick black glass and jointing angle No.1855 etc completye as per direction of Engg. in charge.</t>
  </si>
  <si>
    <t>A. Material</t>
  </si>
  <si>
    <t>Al. section No.9210-8.74Mtr @1.377 kg/Mtr</t>
  </si>
  <si>
    <t>kg</t>
  </si>
  <si>
    <t>Al. section No.9207-4.374Mtr @1.424 kg/Mtr</t>
  </si>
  <si>
    <t>Taper clip Section No9207 =34.94 Mtr @0.169 Kg/Mtr</t>
  </si>
  <si>
    <t>Total Al Section</t>
  </si>
  <si>
    <t>T rubber beading</t>
  </si>
  <si>
    <t>mtr</t>
  </si>
  <si>
    <t>PVC rowl plug</t>
  </si>
  <si>
    <t>no</t>
  </si>
  <si>
    <t>Hire charges of drill Machine</t>
  </si>
  <si>
    <t>B. Labour</t>
  </si>
  <si>
    <t>Add for Cess-1%</t>
  </si>
  <si>
    <t>G.Total:</t>
  </si>
  <si>
    <t>Sand filling</t>
  </si>
  <si>
    <t>Roof beam</t>
  </si>
  <si>
    <t>Earthwork in filling</t>
  </si>
  <si>
    <t xml:space="preserve">Supplying, fitting and fixing of Stainless steel of 304 grade in hand railing using 50mm dia of 2mm thick circular pipe with Balustrade of size 32mm x 32mm x 2mm @ 0.90mtr. C/C and stainless square pipe bracing of size 32mm x 32mm x 2mm in 3 rows in stair case as per approved design and specification, buffing, polishing etc with cost, conveyance, taxes of all materials, labour, T&amp;P etc. required for the complete in all respect. </t>
  </si>
  <si>
    <t>Say:</t>
  </si>
  <si>
    <t>Supplying and stacking of good earth at site including royality and carriage as per direction of the Engineer-in-Charge</t>
  </si>
  <si>
    <t>45mm thick Chequered  tile flooring using 25mm thickchequered  tiles over 20mm thick bed CM(1:1)</t>
  </si>
  <si>
    <t>Beautification of water body (Desilating)</t>
  </si>
  <si>
    <t>i</t>
  </si>
  <si>
    <t>ii</t>
  </si>
  <si>
    <t>iii</t>
  </si>
  <si>
    <t>iv</t>
  </si>
  <si>
    <t>Sub Total</t>
  </si>
  <si>
    <t>Double pile cap</t>
  </si>
  <si>
    <t>Under reamed Pile</t>
  </si>
  <si>
    <t>Waist slab</t>
  </si>
  <si>
    <t>a</t>
  </si>
  <si>
    <t>b</t>
  </si>
  <si>
    <t>c</t>
  </si>
  <si>
    <t>d</t>
  </si>
  <si>
    <t>e</t>
  </si>
  <si>
    <t>f</t>
  </si>
  <si>
    <t>Steps</t>
  </si>
  <si>
    <t>Chequered Tile</t>
  </si>
  <si>
    <t>Landing</t>
  </si>
  <si>
    <t>Railing</t>
  </si>
  <si>
    <t>R.C.C. work of M20 using 20mm and down graded hard granite crusher broken chipes including laying,hosting,centring &amp; shuttering with all cost,conveyance of material etc.complete.</t>
  </si>
  <si>
    <t>FOUNDATION &amp; PLINTH</t>
  </si>
  <si>
    <t>Pile Cap</t>
  </si>
  <si>
    <t>Column below plinth</t>
  </si>
  <si>
    <t>SUPERSTRUCTURE</t>
  </si>
  <si>
    <t>Column in superstructure</t>
  </si>
  <si>
    <t>Roof Beam</t>
  </si>
  <si>
    <t>@</t>
  </si>
  <si>
    <t>Add 1% labour cess</t>
  </si>
  <si>
    <t>Overhead charges @ 15%</t>
  </si>
  <si>
    <t>Single under reamed pile of 300mm dia 6m length with RCC M-20 using 12 mm size black hard granite (crusher broken) stone chips including cost of boring but excluding cost of M.S/Tor steel and labour charges for cutting, bending charges of steel.</t>
  </si>
  <si>
    <t xml:space="preserve"> For each additional depth of 0.5m beyond initial depth of 6.0m add extra to the rate</t>
  </si>
  <si>
    <t>For each less depth of 0.5m from the initial depth of 6.0m deduct form the rate</t>
  </si>
  <si>
    <t>Contractor profit @7.5%</t>
  </si>
  <si>
    <t>R.C.C. work  M-20 grade with 20mm and down grade black hard granite crusher broken stone chips including hoisting and laying.</t>
  </si>
  <si>
    <t>As per Data Book-2006</t>
  </si>
  <si>
    <t>Data Per 15 Cum.</t>
  </si>
  <si>
    <t>a)     Materials</t>
  </si>
  <si>
    <t>20mm size granite chips.</t>
  </si>
  <si>
    <t>10mm size granite chips.</t>
  </si>
  <si>
    <t>b)     Labour</t>
  </si>
  <si>
    <t>nos</t>
  </si>
  <si>
    <t>Mazdoor</t>
  </si>
  <si>
    <t>c)     Machinery</t>
  </si>
  <si>
    <t>Concrete Mixer</t>
  </si>
  <si>
    <t>Hours</t>
  </si>
  <si>
    <t>Generator</t>
  </si>
  <si>
    <t xml:space="preserve">Overhead charges @ 7.5% </t>
  </si>
  <si>
    <t>Coarse aggrigate.</t>
  </si>
  <si>
    <t>/15</t>
  </si>
  <si>
    <t>Add labour cess @ 1%</t>
  </si>
  <si>
    <t>Filling foundation trenches and plinth with excavated earth</t>
  </si>
  <si>
    <t>Supplying and stacking of good earth at site</t>
  </si>
  <si>
    <t>/  cum</t>
  </si>
  <si>
    <t>Per Qntl.</t>
  </si>
  <si>
    <t>Cost of M.S.reinforcement including 5% over lap &amp; wastege.</t>
  </si>
  <si>
    <t>Tonne</t>
  </si>
  <si>
    <t>Black smith (special)</t>
  </si>
  <si>
    <t>/Tonne</t>
  </si>
  <si>
    <t>c)     Carriage</t>
  </si>
  <si>
    <t>/Qntl.</t>
  </si>
  <si>
    <t>M.S.reinforcement.</t>
  </si>
  <si>
    <t>/ Qntl.</t>
  </si>
  <si>
    <t>Finishing wall surface of walls with cement based wall putty (water based) for ground floor</t>
  </si>
  <si>
    <t>Cement based putty</t>
  </si>
  <si>
    <t>Add 1% Labour Cess</t>
  </si>
  <si>
    <t xml:space="preserve">Supplying, fitting and fixing of M.S. grill in windows  including screws as may be required etc with cost, conveyance, taxes of all materials, labour, T&amp;P etc. required for the complete in all respect. </t>
  </si>
  <si>
    <t>Data - 2'-7" x 4'-1" = 10.54 Sft or 0.98 Sqm.</t>
  </si>
  <si>
    <t>As per S/R-2006, P-111, Item No.5</t>
  </si>
  <si>
    <t xml:space="preserve">b)     Materials </t>
  </si>
  <si>
    <t>E.P.M. Rate = Rs. 61.50+ VAT 13.5% = 69.80</t>
  </si>
  <si>
    <t>Considering the weight of grill @ 2.00 kg/Sft.</t>
  </si>
  <si>
    <t>/kg</t>
  </si>
  <si>
    <t>10.54 x 2.00 kg = 21.08 Kg.</t>
  </si>
  <si>
    <t>/21.08 Kg</t>
  </si>
  <si>
    <t xml:space="preserve">Rate per Kg  =   </t>
  </si>
  <si>
    <t>/ Kg.</t>
  </si>
  <si>
    <t>or say</t>
  </si>
  <si>
    <t>say</t>
  </si>
  <si>
    <t>/ Sqm.</t>
  </si>
  <si>
    <t>Per Rmt.</t>
  </si>
  <si>
    <t>Date for 3.26 Rmt.</t>
  </si>
  <si>
    <t>Railing- 50mm outer dia of 2mm thick 3.26 rmt. @ 3.50kg/mtr.</t>
  </si>
  <si>
    <t>Balustrade of size 32mmx32mmx2mm (4x0.90m = 3.60mtr. @ 1.70kg/mtr.</t>
  </si>
  <si>
    <t>Stainless steel square pipe bracing of size 32mmx32mmx2mm in 3 rows (3x3.26m = 9.78mtr. @ 1.70kg/mtr.</t>
  </si>
  <si>
    <t>Buffing, polishing etc. 2%</t>
  </si>
  <si>
    <t xml:space="preserve">Fabrication </t>
  </si>
  <si>
    <t>High skilled Labour</t>
  </si>
  <si>
    <t>Semi skilled Labour</t>
  </si>
  <si>
    <r>
      <t xml:space="preserve">RCC work M 20 grade with 20mm and down grade black granite crusher broken stone chips including hoisting and laying with centring and shuttering for </t>
    </r>
    <r>
      <rPr>
        <b/>
        <sz val="10"/>
        <color indexed="10"/>
        <rFont val="Arial"/>
        <family val="2"/>
      </rPr>
      <t>column base</t>
    </r>
  </si>
  <si>
    <r>
      <t>RCC work M 20 grade with 20mm and down grade black granite crusher broken stone chips including hoisting and laying with centring and shuttering for</t>
    </r>
    <r>
      <rPr>
        <b/>
        <sz val="10"/>
        <color indexed="10"/>
        <rFont val="Arial"/>
        <family val="2"/>
      </rPr>
      <t xml:space="preserve"> Plinth beam</t>
    </r>
  </si>
  <si>
    <r>
      <t>RCC work M 20 grade with 20mm and down grade black granite crusher broken stone chips including hoisting and laying with centring and shuttering for</t>
    </r>
    <r>
      <rPr>
        <b/>
        <sz val="10"/>
        <color indexed="10"/>
        <rFont val="Arial"/>
        <family val="2"/>
      </rPr>
      <t xml:space="preserve"> roof beam</t>
    </r>
    <r>
      <rPr>
        <b/>
        <sz val="10"/>
        <rFont val="Arial"/>
        <family val="2"/>
      </rPr>
      <t xml:space="preserve"> and </t>
    </r>
    <r>
      <rPr>
        <b/>
        <sz val="10"/>
        <color indexed="10"/>
        <rFont val="Arial"/>
        <family val="2"/>
      </rPr>
      <t>column</t>
    </r>
  </si>
  <si>
    <r>
      <t>RCC work M 20 grade with 20mm and down grade black granite crusher broken stone chips including hoisting and laying with centring and shuttering for</t>
    </r>
    <r>
      <rPr>
        <b/>
        <sz val="10"/>
        <color indexed="10"/>
        <rFont val="Arial"/>
        <family val="2"/>
      </rPr>
      <t xml:space="preserve"> wall</t>
    </r>
  </si>
  <si>
    <t>2/3 rate of excavtaion</t>
  </si>
  <si>
    <t>Earthwork filling from outer source</t>
  </si>
  <si>
    <t>Plinth Beam</t>
  </si>
  <si>
    <t>Staircase</t>
  </si>
  <si>
    <t>Superstructure</t>
  </si>
  <si>
    <t>16 mm. thick cement plaster (1:6) for outside surface</t>
  </si>
  <si>
    <t>Slab</t>
  </si>
  <si>
    <t>Brick work</t>
  </si>
  <si>
    <t>Description</t>
  </si>
  <si>
    <t>Rate</t>
  </si>
  <si>
    <t>Amount</t>
  </si>
  <si>
    <t>E</t>
  </si>
  <si>
    <t>H</t>
  </si>
  <si>
    <t>ESTIMATE FOR LANDSCAPE IRRIGATION SYSTEM                                                                     AT ATHARANALA,PURI</t>
  </si>
  <si>
    <t>Sr No</t>
  </si>
  <si>
    <t>Items</t>
  </si>
  <si>
    <t>Qty</t>
  </si>
  <si>
    <t>Rate              ( in Rs.)</t>
  </si>
  <si>
    <t>Amount            (in Rs.)</t>
  </si>
  <si>
    <t>PVC pipe 75 mm x 6 Kg/cm2</t>
  </si>
  <si>
    <t>PVC Pipe 63 mm x 6 Kg/cm2</t>
  </si>
  <si>
    <t>Pop Up Sprinkler Unispray Body + Van Nozzle</t>
  </si>
  <si>
    <t>Swing Joint 1/2"</t>
  </si>
  <si>
    <t>P.P. Clamp Saddle 63mm x 1/2"</t>
  </si>
  <si>
    <t>Disc Filter 3"</t>
  </si>
  <si>
    <t>PVC Ball Valve 63 mm</t>
  </si>
  <si>
    <t>Hydrant 3/4"</t>
  </si>
  <si>
    <t>Hydrant Opener 3/4"</t>
  </si>
  <si>
    <t>Swing Joint 3/4"</t>
  </si>
  <si>
    <t>P.P. Clamp Saddle 3/4"</t>
  </si>
  <si>
    <t>10" Round Valve Box</t>
  </si>
  <si>
    <t>PVC Fittings &amp; Accessoreis</t>
  </si>
  <si>
    <t>VAT@5%</t>
  </si>
  <si>
    <t>Trenching &amp; Back Filling</t>
  </si>
  <si>
    <t>Installation Charges</t>
  </si>
  <si>
    <t xml:space="preserve">Service tax </t>
  </si>
  <si>
    <t>Plinth beam</t>
  </si>
  <si>
    <t>Fountain Wall</t>
  </si>
  <si>
    <t>SL NO.</t>
  </si>
  <si>
    <t>EXCAVATION</t>
  </si>
  <si>
    <t>Ordinary Soil</t>
  </si>
  <si>
    <t>Slushy Soil</t>
  </si>
  <si>
    <t>SAND FILLING</t>
  </si>
  <si>
    <t>PCC(1:3:6)</t>
  </si>
  <si>
    <t>2 group pile</t>
  </si>
  <si>
    <t>NOS</t>
  </si>
  <si>
    <t>F &amp; P</t>
  </si>
  <si>
    <t>B3</t>
  </si>
  <si>
    <t>B1</t>
  </si>
  <si>
    <t>Column Below plinth</t>
  </si>
  <si>
    <t>C1</t>
  </si>
  <si>
    <t>B2</t>
  </si>
  <si>
    <t>B4</t>
  </si>
  <si>
    <t>Inclined column</t>
  </si>
  <si>
    <t>Trellis</t>
  </si>
  <si>
    <t>S</t>
  </si>
  <si>
    <t>S1</t>
  </si>
  <si>
    <t>STEEL CALCULATION</t>
  </si>
  <si>
    <t>PER 1</t>
  </si>
  <si>
    <t>CUM</t>
  </si>
  <si>
    <t>KG</t>
  </si>
  <si>
    <t>PILE</t>
  </si>
  <si>
    <t>PILE CAP</t>
  </si>
  <si>
    <t>COLUMN IN F N P</t>
  </si>
  <si>
    <t>COLUMN IN SUPERSTRUCTURE</t>
  </si>
  <si>
    <t>COLUMN IN SUPERSTRUCTURE(TRELLIS)</t>
  </si>
  <si>
    <t>PLINTH BEAM</t>
  </si>
  <si>
    <t xml:space="preserve"> ROOF BEAM</t>
  </si>
  <si>
    <t>ROOF SLAB</t>
  </si>
  <si>
    <t>FOUNTAIN WALL</t>
  </si>
  <si>
    <t>QNTL</t>
  </si>
  <si>
    <t>Plastering (16mm)</t>
  </si>
  <si>
    <t>WEATHER COAT PAINT</t>
  </si>
  <si>
    <t>SS RAILING</t>
  </si>
  <si>
    <t>TILE</t>
  </si>
  <si>
    <t>Water body</t>
  </si>
  <si>
    <t>PAVING TILE</t>
  </si>
  <si>
    <t>R.C.C .</t>
  </si>
  <si>
    <t>R.C.C. Pile</t>
  </si>
  <si>
    <t>ESTIMATE FOR THE CONSTRUCTION OF CIVIL STRUCTURE FOR LANDSCAPING</t>
  </si>
  <si>
    <t xml:space="preserve"> Cleaning of water Hycinth thickly grown from canal and drainage channel  including all equipments,  other materials,  labour and all T &amp; P etc. as required and as directed by Conservation Architect / site engineer- in -charge.</t>
  </si>
  <si>
    <t>De- watering water - with pumpset for pumping out water etc. including cost ofall pipes, oil, fuel &amp; lubricants, operator and T &amp; P etc. as required for complete job.</t>
  </si>
  <si>
    <t>K.ltrs</t>
  </si>
  <si>
    <t>Removing,scraping and cleaning wild growth and removal of the rubbish and accumulated earth up to a distance of 50 m. outside the periphery of the area cleared</t>
  </si>
  <si>
    <t xml:space="preserve"> Digging of slush including all lifts and load including transportation of excavated slush within the campus by tractor trolly or dumper with loading of slush all complete as per direction of Engineer-in- Charge.</t>
  </si>
  <si>
    <r>
      <t xml:space="preserve">Providing Coffer dam comprising filling </t>
    </r>
    <r>
      <rPr>
        <b/>
        <sz val="10"/>
        <rFont val="Arial"/>
        <family val="2"/>
      </rPr>
      <t xml:space="preserve">gunny bags </t>
    </r>
    <r>
      <rPr>
        <sz val="10"/>
        <rFont val="Arial"/>
        <family val="2"/>
      </rPr>
      <t>with sand &amp; placing in two parallel rows at suitable distance  including filling the gap with sand / sandy earth for making rigid coffer dam to create barrier for retaining lake water for carrying out restoration work as directed by conservation Architect / site engineer - in -charge.</t>
    </r>
  </si>
  <si>
    <t>Sl. No</t>
  </si>
  <si>
    <t>Description of Item</t>
  </si>
  <si>
    <t>Earth work in slushy soil (in water up to 0.6 m depth requiring the aid of pans &amp; vessles) with in 50 m initial lead &amp;1.5m initial lift as per the direction of engineer in charge.</t>
  </si>
  <si>
    <t>Filling available excvated earth or earth from cutting used in banking as directed in layers not exceeding 200mm in depth, breaking clods, watering &amp; consulidating each deposited layer by ramming with rammers with in all leads up to 50m.</t>
  </si>
  <si>
    <t>V</t>
  </si>
  <si>
    <t>Providing &amp; fixing factory made (Make :-Rajshri) internal PVC door frame of size 100mmx45mm with wall thickness of 5mm made out of extruded 5mm PVC foam sheet , meter cut at two corner &amp; joined with two numbers 150mm long bracket of 15mmx15mm squire tube. The two vertical door profile are to be reinforced with 40mm x20mm tube of 19 gauge throughout the frame. The door frame shall be fixed to the wall using 65/100mm long MS screws through the frame by using PVC fasteners. A minimum of 4 numbers of screws to be provided for is vertical member &amp; minimum two numbers for horizontal members etc. complete as per specification and direction of Engineer –in-charge.</t>
  </si>
  <si>
    <t>Providing and fixing 30mm thick “Rajshri”BRAND FACTORY MADE SINGLE SIDE PANEL PVC DOOR SHUTTER consisting of frame made from M.S. tubes of 19 gauge thickness, size 19x19mm  forstyiles and 15x15mm for top and bottom rails. The M.S frame shall have a coat of steel primers . The M.S frame shall have  covered with heat moulded Rajshri single side prelam PVC “C” channel of 5mm thick sheet and 30x50mm wide to formstyiles and 5mm thick and 75mm wide single side prelam sheet  for top rail, lock rail and bottom rail on other side and 5mm thick, 20mm wide cross PVC sheet as gap insert for top rail and bottom rail, paneling of 5mm thick PVC sheet fitted in the M.S. frame welded / sealed to the styles and rails with 5x30mm PVC sheet beading on either side and joined together with solvent cement adhesive etc., complete as per manufacturers specification including fixing frames with 4 Nos. M.S. powder coated butt hinges complete including one 10inch aluminium aldrop   and two aluminium tower bolts of 10 inch and 6 inch and two aluminium handles cost of all materials, conveyance, loading, unloading, and taxes of all materials, cost of all labour, sundries, T&amp;P required for the work as per direction of Engineer-in-Charge.</t>
  </si>
  <si>
    <t>Lintel</t>
  </si>
  <si>
    <t>Supplying and laying of heavy duty factory made hydraulically pressed and mechanically compacted free cast interlocking TUFF STONE brand pavers of 80mm thick, coral shaped preparation of sub base with 50mm sand and leveling,laying of interlocking paver block with sand binding and final compaction with plate vibrator finishing the surface including cutting of blocks at the edges with all labour and materials etc complete as per direction of Engineer-in-chrge.</t>
  </si>
  <si>
    <t>Data for 10 sqm</t>
  </si>
  <si>
    <t>80mm thick concrete paver block with 10% wastage</t>
  </si>
  <si>
    <t>Cost of Vibrator @ 1%</t>
  </si>
  <si>
    <t>/each</t>
  </si>
  <si>
    <t>80mm thick concrete paver block with 10% wastage for 385 nos -      Km</t>
  </si>
  <si>
    <t>Overhead charges @15%</t>
  </si>
  <si>
    <t>Brick work with KB bricks 25cmx11cmx8cm  having crushing strength not less than 75 kg/Sq.cm. in cement mortar (1:6) in foundation and plinth</t>
  </si>
  <si>
    <t>PH ANALYSIS FOR  BOATING COMPLEX &amp; O.A.T.</t>
  </si>
  <si>
    <t>Providing and installing vitreous china Orissa pattern water closet pan with 100mm SCI P or S trap with 10lit cistern</t>
  </si>
  <si>
    <t xml:space="preserve">Sundries,T&amp;P etc 8% </t>
  </si>
  <si>
    <t xml:space="preserve">Cost per one number        </t>
  </si>
  <si>
    <t xml:space="preserve">For 580mmx440mm size Orissa pan with P trap                                                          </t>
  </si>
  <si>
    <t>Labour charges for Fixing 100mm dia PVC  ‘P’ trap</t>
  </si>
  <si>
    <t xml:space="preserve">Overhead charges 15.0% </t>
  </si>
  <si>
    <t xml:space="preserve">Cement,sand etc   </t>
  </si>
  <si>
    <t xml:space="preserve">12mm pvc connection pipe 0.45m length  </t>
  </si>
  <si>
    <t xml:space="preserve">10 litres capacity PVC cistern  </t>
  </si>
  <si>
    <t>Providing and installing vitreous china European type water closet with P or S trap with 10 lit cistern etc</t>
  </si>
  <si>
    <t xml:space="preserve">Materials  </t>
  </si>
  <si>
    <t xml:space="preserve">Add cost of European water closet with ‘P’ trap plain                          </t>
  </si>
  <si>
    <t>Labour charges for Fixing plastic seat and cover</t>
  </si>
  <si>
    <t xml:space="preserve">Fixing charges including sundries, tools and plant  and carriage of tools and plant  </t>
  </si>
  <si>
    <t>Plastic seat and cover with CP brass hinges and rubber buffers       (  White   )</t>
  </si>
  <si>
    <t xml:space="preserve">Overhead charges 12.50% </t>
  </si>
  <si>
    <t xml:space="preserve">Details of cost for one number  </t>
  </si>
  <si>
    <t>32mm dia pvc waste pipe</t>
  </si>
  <si>
    <t xml:space="preserve">Wooden blocks and screws </t>
  </si>
  <si>
    <t>Plumber fitter</t>
  </si>
  <si>
    <t>Over head charges   12.5 %</t>
  </si>
  <si>
    <t>Watering charges    1%</t>
  </si>
  <si>
    <t xml:space="preserve">Sundries,T&amp;P  including painting the brackets etc  8%  </t>
  </si>
  <si>
    <t xml:space="preserve">Cost of Flat back urinal 430x260x350    </t>
  </si>
  <si>
    <t>Cost 15  mm dia urinal spreader</t>
  </si>
  <si>
    <t>Fixing of 5 lit porcelain automatic flushing cistern</t>
  </si>
  <si>
    <t>Plumber fitter /Mason</t>
  </si>
  <si>
    <t>Cement ,sand  etc</t>
  </si>
  <si>
    <t>12 mm PVC connection pipe .45m length.</t>
  </si>
  <si>
    <t>cast iron bracket</t>
  </si>
  <si>
    <t>pair</t>
  </si>
  <si>
    <t>Fixingglazed earthenware squatting plate of size 600mmX350mm</t>
  </si>
  <si>
    <t>Cement concrete (1:5:10)</t>
  </si>
  <si>
    <t>Cement sand etc</t>
  </si>
  <si>
    <t>Cost of squatting urinal(Make:Parryware-C0503/573</t>
  </si>
  <si>
    <t>Providing and installing vitreous china wash basin with all fittings</t>
  </si>
  <si>
    <t xml:space="preserve">C I or M S bracket = 1 pair </t>
  </si>
  <si>
    <t xml:space="preserve">Overhead charges 15% </t>
  </si>
  <si>
    <t>Add cost of 550mmx400mm size wash hand basin</t>
  </si>
  <si>
    <t xml:space="preserve">Fixing PVC waste pipe of following nominal diameter for wash basin </t>
  </si>
  <si>
    <t xml:space="preserve">Fixing charges including sundries,tools and plant watering charges etc  </t>
  </si>
  <si>
    <t xml:space="preserve">32mm dia PVC waste pipe with brass coupling nut                </t>
  </si>
  <si>
    <t>Fixing pillar taps capstan head screw down high pressure lettered  ‘Hot’ and ‘Cold’ with long screws, shanks and back nuts of the following nominal bore as per specification</t>
  </si>
  <si>
    <t>15mm diameter</t>
  </si>
  <si>
    <t xml:space="preserve">Fixing charges including sundries tools and plant  watering charges etc </t>
  </si>
  <si>
    <t xml:space="preserve">15mm dia CP pillar cock  Jaquar(Essco) make          </t>
  </si>
  <si>
    <t>Fixing 15mm dia PVC inlet connection pipe and making connection  with pillar cocks and supply mains for wash basin complete  Details of cost for one number</t>
  </si>
  <si>
    <t xml:space="preserve">Fixing charges including sundries, tools and plant  watering charges etc </t>
  </si>
  <si>
    <t xml:space="preserve">15mm dia PVC inlet connection pipe 0.45m long                       </t>
  </si>
  <si>
    <t>Fixing CP brass waste of the following nominal diameter for wash basin Details of cost for one number</t>
  </si>
  <si>
    <t xml:space="preserve">Fixing charges including sundries, tools and plant watering charges etc  </t>
  </si>
  <si>
    <t xml:space="preserve">32mm dia CP waste            </t>
  </si>
  <si>
    <t>Wash basin with counter top</t>
  </si>
  <si>
    <t xml:space="preserve">Add cost of vitreous china pedestal </t>
  </si>
  <si>
    <t xml:space="preserve">Labour charges </t>
  </si>
  <si>
    <t xml:space="preserve">A.C or plywood sheet </t>
  </si>
  <si>
    <t xml:space="preserve">Cost of 600mmx450mm size (Reflection mirrors)                                 </t>
  </si>
  <si>
    <t>-----------</t>
  </si>
  <si>
    <t>Supplying all materials, labour, T&amp;P and fixing standard sized   glass-shelf with CP brass brackets complete     fixed to woden plugs with CP screws as per specification and  direction of the Engineer in charge</t>
  </si>
  <si>
    <t>Overhead charges 15%</t>
  </si>
  <si>
    <t xml:space="preserve">Cost of Corner Glass Shelf, Jaquar Continental </t>
  </si>
  <si>
    <t>Supplying all materials, labour, T&amp;P and fixing standard sized  CP Grab Bar complete fixed to wooden plugs   with CP screws as per specification and direction of the Engineer in charge</t>
  </si>
  <si>
    <t xml:space="preserve"> Cost per one number  </t>
  </si>
  <si>
    <t>Supplying all materials, labour, T&amp;P and fixing standard sized  CP double hook complete with CP brass brackets fixed to wooden plugs   with CP screws as per specification and direction of the Engineer in charge</t>
  </si>
  <si>
    <t>Cost for one number</t>
  </si>
  <si>
    <t xml:space="preserve">Cost of soap case of Jaquar(Continental) </t>
  </si>
  <si>
    <t>Supplying all materials, labour, T&amp;P and fixing standard sized  CP soap dispenser complete with CP brass brackets fixed to wooden plugs   with CP screws as per specification and direction of the Engineer in charge</t>
  </si>
  <si>
    <t>Cost of soap dispenser of Jaquar</t>
  </si>
  <si>
    <t>Supplying all materials, labour, T&amp;P and fixing standard sized  CP shower with 15mm or 20mm inlet including polishing complete with CP brass brackets fixed to wooden plugs with CP screws as per specification and direction of the Engineer in charge</t>
  </si>
  <si>
    <t>Add cost of shower of Jaquar (Essco) including 240mm arm</t>
  </si>
  <si>
    <t>Supplying all materials, labour, T&amp;P and fixing standard sized  CP or glazed porcelain Toilet paper holder complete with CP brass brackets fixed to wooden plugs   with CP screws as per specification and direction of the Engineer in charge</t>
  </si>
  <si>
    <t>Add cost of toilet paper holder of jaquar essco make</t>
  </si>
  <si>
    <t>Providing marble slab urinal partition wall</t>
  </si>
  <si>
    <t>details of cost for one sqm</t>
  </si>
  <si>
    <t>Cutting grooves in wall</t>
  </si>
  <si>
    <t>Metre</t>
  </si>
  <si>
    <t>Cost of marble</t>
  </si>
  <si>
    <t>Supplying all materials, labour, T&amp;P and fitting and fixing U-PVC SWR soil waste ventilating pipes and fittings to walls with nails, bobbins and wooden plugs or laying in trenches including earthwork in excavation in all kinds of soil and refilling of trenches as per specification and direction of the engineer in charge</t>
  </si>
  <si>
    <t>a.</t>
  </si>
  <si>
    <t xml:space="preserve">110mm diameter,data for 10mtr              </t>
  </si>
  <si>
    <t xml:space="preserve">Add cost of 110mm dia U-PVC SWR pipe of Supreme make type A </t>
  </si>
  <si>
    <t>b.</t>
  </si>
  <si>
    <t xml:space="preserve">75mm diameter,data for 10mtr              </t>
  </si>
  <si>
    <t>(Supreme make)</t>
  </si>
  <si>
    <t>110mm Dia PVC bend with access door</t>
  </si>
  <si>
    <t xml:space="preserve">110mm Dia PVC plain bend </t>
  </si>
  <si>
    <t xml:space="preserve">Providing and fixing 110mm dia heel rest bend </t>
  </si>
  <si>
    <t>Providing and fixing 110mm dia U-PVC door tee</t>
  </si>
  <si>
    <t>Providing and fixing 110mm dia U-PVC cross tee</t>
  </si>
  <si>
    <t>Providing and fixing terminal guard 110mm dia</t>
  </si>
  <si>
    <t>stainless steel  jali grating  with  hole of floor / nahani trap</t>
  </si>
  <si>
    <t>per each=250.29/30</t>
  </si>
  <si>
    <t>Add cost of Nahani Trap 85 mm (3-1/2") HT x 63 with Jali</t>
  </si>
  <si>
    <t>providing and fixing UPVC trap  of self cleaning  design with  sand  cast iron screw down  or hinged grattining</t>
  </si>
  <si>
    <t>110mm dia inlet and 110mm outlet</t>
  </si>
  <si>
    <t>PVC pipe  SCH 80</t>
  </si>
  <si>
    <t xml:space="preserve">15mm PVC pipes            </t>
  </si>
  <si>
    <t>Labour charges for laying</t>
  </si>
  <si>
    <t xml:space="preserve">Overhead charges 15%       </t>
  </si>
  <si>
    <t xml:space="preserve">Add watering charges 1%                      </t>
  </si>
  <si>
    <t xml:space="preserve">                                                                                                                      </t>
  </si>
  <si>
    <t xml:space="preserve">20mm PVC pipes            </t>
  </si>
  <si>
    <t xml:space="preserve">25mm PVC pipes            </t>
  </si>
  <si>
    <t>32mm dia</t>
  </si>
  <si>
    <t xml:space="preserve">32mm PVC pipes            </t>
  </si>
  <si>
    <t xml:space="preserve">Overhead charges 125%       </t>
  </si>
  <si>
    <t>50mm dia</t>
  </si>
  <si>
    <t xml:space="preserve">50mm PVC pipes            </t>
  </si>
  <si>
    <t>Providing and fixing CP Bib cock of approved quality</t>
  </si>
  <si>
    <t xml:space="preserve">15mm dia nominal bore   </t>
  </si>
  <si>
    <t>Details for 10nos of CP bib cocks</t>
  </si>
  <si>
    <t>Bib cock of Jaquar(Continental) make</t>
  </si>
  <si>
    <t>Labour for laying</t>
  </si>
  <si>
    <t xml:space="preserve">                                                                                                                                       </t>
  </si>
  <si>
    <t xml:space="preserve"> Rate per each number </t>
  </si>
  <si>
    <t>Providing and fixing 2 way CP bib cock of approved quality</t>
  </si>
  <si>
    <t>Details for 10nos of 2 way CP  bib cocks</t>
  </si>
  <si>
    <t>15mm dia brass bib cock   Jaquar(Essco) make</t>
  </si>
  <si>
    <t xml:space="preserve">Providing and fixing CP angular stop cock </t>
  </si>
  <si>
    <t>15mm dia CP stop cock Jaquar(Continental) make</t>
  </si>
  <si>
    <t>Overhead charges  @ 15%</t>
  </si>
  <si>
    <t xml:space="preserve">                                                                                                                                     </t>
  </si>
  <si>
    <t xml:space="preserve">Providing and fixing CP flush cock </t>
  </si>
  <si>
    <t>Details for 10nos of CP flush cocks</t>
  </si>
  <si>
    <t>15mm dia CP flush cock Jaquar(Essco) make with wall flange 25mm</t>
  </si>
  <si>
    <t>Overhead charges  @ 12.5%</t>
  </si>
  <si>
    <t xml:space="preserve">Sundries 3% </t>
  </si>
  <si>
    <t xml:space="preserve">Providing and fixing 25mm dia brass full way valve of approved quality    </t>
  </si>
  <si>
    <t>Details for 10nos of Brass or gun metal fullway valve</t>
  </si>
  <si>
    <t xml:space="preserve">25mm dia brass or GM FW valve                       </t>
  </si>
  <si>
    <t xml:space="preserve">Overhead charges @15%                                              </t>
  </si>
  <si>
    <t xml:space="preserve">Add watering charges 1%        </t>
  </si>
  <si>
    <t xml:space="preserve">                                                                                                                                      </t>
  </si>
  <si>
    <t>Rate per each number =</t>
  </si>
  <si>
    <t>Overhead charges   15%</t>
  </si>
  <si>
    <t>Add watering charges   1%</t>
  </si>
  <si>
    <t xml:space="preserve">Add cost of 1000 lit PVC Tank @  Rs6.00/lit                                          </t>
  </si>
  <si>
    <t>i.</t>
  </si>
  <si>
    <t>75mm diameter</t>
  </si>
  <si>
    <t>cement concrete ( 1:4:8)</t>
  </si>
  <si>
    <t xml:space="preserve">Rate per metre = </t>
  </si>
  <si>
    <t>ii.</t>
  </si>
  <si>
    <t>iii.</t>
  </si>
  <si>
    <t>110mm diameter</t>
  </si>
  <si>
    <t>160 x110 mm size gully trap</t>
  </si>
  <si>
    <t xml:space="preserve">150 x 150 mm  C.I grating </t>
  </si>
  <si>
    <t>Cement concrete(1:3:6) using 40mm size hard granite metal</t>
  </si>
  <si>
    <t>1mx1mx0.78m</t>
  </si>
  <si>
    <t>Cost for one chamber</t>
  </si>
  <si>
    <t>Brick work ithe KB brick in CM 1:6</t>
  </si>
  <si>
    <t>Total Labour</t>
  </si>
  <si>
    <t>Over head charges  12 .5%</t>
  </si>
  <si>
    <t>Sundrise  and  tools  and  plant @2%</t>
  </si>
  <si>
    <t>Construction of Inspection chamber of inside size 450x450x460mm</t>
  </si>
  <si>
    <t>Earthwork in excavation in ordinary soil within initial lead and lift and refilling</t>
  </si>
  <si>
    <t>1.37x1.37x0.76</t>
  </si>
  <si>
    <t>1.26x1.26x1.15</t>
  </si>
  <si>
    <t>0.45x0.45x0.15</t>
  </si>
  <si>
    <t>3.75x0.25x1.46</t>
  </si>
  <si>
    <t>Over head charges  15%</t>
  </si>
  <si>
    <t>M.S. Reinforcement</t>
  </si>
  <si>
    <t>Plain manhole inside 1200mmX900mm and 900mm deep with cast iron manhole cover and frame (medium duty) 560mm internal dia</t>
  </si>
  <si>
    <t>1.85*1.55*.90</t>
  </si>
  <si>
    <t>=1.85*1.55x0.2 = 0.57 cum</t>
  </si>
  <si>
    <t>net= 1.031 Cum</t>
  </si>
  <si>
    <t>Net = 0.32 Cum</t>
  </si>
  <si>
    <t>net =4.96 sqm</t>
  </si>
  <si>
    <t>net = 0.25 Cum</t>
  </si>
  <si>
    <t xml:space="preserve">0.32qntl @1 qntl  per </t>
  </si>
  <si>
    <t>cost of C I Main hole cover  with  frame  455mmx610mm inside=38KG</t>
  </si>
  <si>
    <t>Cost of Manhole</t>
  </si>
  <si>
    <t>Soak Pit of 1.80 mtr dia and 2.6 mtr depth</t>
  </si>
  <si>
    <t>Manhole cover 450mm disX 50mm thick RCC manhole cover in cc(1:2:4) with chips</t>
  </si>
  <si>
    <t>RCC (1:2:4) with 12mm chips</t>
  </si>
  <si>
    <t>Centering &amp; shuttering for RCC work</t>
  </si>
  <si>
    <t>sqm</t>
  </si>
  <si>
    <t>c.</t>
  </si>
  <si>
    <t>MS reinforcement</t>
  </si>
  <si>
    <t>qntl</t>
  </si>
  <si>
    <t>31(A)</t>
  </si>
  <si>
    <t>Laying following dia S.W. sewer line including excavation PCC etc. all complete (upto 1.5 m depth)</t>
  </si>
  <si>
    <t>Details for 30 M</t>
  </si>
  <si>
    <t>300 dia</t>
  </si>
  <si>
    <t>Materials :-</t>
  </si>
  <si>
    <t xml:space="preserve">300mm dia S.W. pipes 60cm long each </t>
  </si>
  <si>
    <t>Add for wastage @ 5%</t>
  </si>
  <si>
    <t>Cement for 100 Joints @ 1.94 Kg. Per joint</t>
  </si>
  <si>
    <t>Fine Sand</t>
  </si>
  <si>
    <t>Spun yard or tarred gasket @ 0.18 Kg/Joint</t>
  </si>
  <si>
    <t>Coat Tar</t>
  </si>
  <si>
    <t>L.S.</t>
  </si>
  <si>
    <t>Labour for Jointing &amp; Testing :-</t>
  </si>
  <si>
    <t>Masson skilled</t>
  </si>
  <si>
    <t>each</t>
  </si>
  <si>
    <t>Bhisti (semi skilled)</t>
  </si>
  <si>
    <t>Over head charges @ 12. 5%</t>
  </si>
  <si>
    <t>Watering charges @ 1%</t>
  </si>
  <si>
    <t>Sundries @ 2%</t>
  </si>
  <si>
    <t>Earth work in all kinds of soil in excavation</t>
  </si>
  <si>
    <t>0.6 x 1 x 30</t>
  </si>
  <si>
    <t>Back filling (18 - 4.185)</t>
  </si>
  <si>
    <t>P.C.C. (1:4:8) in Benching (1/2x.6x.165x30), Haunching (.6x.15x30) - (22/28*.165^2x30)</t>
  </si>
  <si>
    <t>Total :</t>
  </si>
  <si>
    <t>/30 M</t>
  </si>
  <si>
    <t>/M</t>
  </si>
  <si>
    <t>200 dia</t>
  </si>
  <si>
    <t xml:space="preserve">200mm dia S.W. pipes 60cm long each </t>
  </si>
  <si>
    <t>Cement for 50 Joints @ 1.94 Kg. Per joint</t>
  </si>
  <si>
    <t>150 dia</t>
  </si>
  <si>
    <t xml:space="preserve">150mm dia S.W. pipes 60cm long each </t>
  </si>
  <si>
    <t>iv.</t>
  </si>
  <si>
    <t>For 100mm dia SW Line</t>
  </si>
  <si>
    <t>Rate for 150mm dia SW line</t>
  </si>
  <si>
    <t>Less</t>
  </si>
  <si>
    <t>(-)</t>
  </si>
  <si>
    <t>Construction Septic tanks, brick masonary with RCC cover slab etc., complete.</t>
  </si>
  <si>
    <t>(a)</t>
  </si>
  <si>
    <t>50 User Septic Tank (internal size 5mx2mx2.2m (depth))</t>
  </si>
  <si>
    <t>Earth work in in all kinds of soil etc., with initial lead &amp; lift upto 3m</t>
  </si>
  <si>
    <t>PCC (1:4:8)</t>
  </si>
  <si>
    <t>PCC (1:2:4)</t>
  </si>
  <si>
    <t>RCC (1:1.5:3) for roof slab</t>
  </si>
  <si>
    <t>20mm thick garding concrete (1:2:2)</t>
  </si>
  <si>
    <t>Providing CI/PVC step iron</t>
  </si>
  <si>
    <t>Providing SW Tee 150mm dia</t>
  </si>
  <si>
    <t>no.</t>
  </si>
  <si>
    <t>Providing SW bend 150mm dia</t>
  </si>
  <si>
    <t>Providing HCI Vent pipe with Cowl 1.8m long (50mm dia)</t>
  </si>
  <si>
    <t>m</t>
  </si>
  <si>
    <t>Providing pre-cast RCC manhole cover &amp; frame 500mm dia, medium duty, (10 T capacity)</t>
  </si>
  <si>
    <t>or Say</t>
  </si>
  <si>
    <t>(b)</t>
  </si>
  <si>
    <t>100 User Septic Tank (internal size 7.5mx2.65mx2.4m (depth))</t>
  </si>
  <si>
    <t xml:space="preserve">RCC (1:1.5:3) </t>
  </si>
  <si>
    <t>12mm thick Cement Plaster (1:3) with punning</t>
  </si>
  <si>
    <t>Providing HCI Vent pipe with Cowl 1.8m long (100mm dia)</t>
  </si>
  <si>
    <t xml:space="preserve">Overhead charges 15%                                                        </t>
  </si>
  <si>
    <t xml:space="preserve">Overhead charges 15%          </t>
  </si>
  <si>
    <t xml:space="preserve">Cost for one number 300mm Grab Bar Jaquar(Kubix Prime) </t>
  </si>
  <si>
    <t>12 mm. thick cement plaster (1:6) for inside surface</t>
  </si>
  <si>
    <t>6 mm. thick cement plaster (1:4) to RCC surfaces finished smooth including closed deep chiping and slury treatment.</t>
  </si>
  <si>
    <t>12mm thick cement plaster (1:6) finished with a floating coat of neat cement punning</t>
  </si>
  <si>
    <t>Earthwork in excavation ordinary soil within initial lead and lift and refilling</t>
  </si>
  <si>
    <t>12mm plaster (1:6)</t>
  </si>
  <si>
    <t>R.C.C.  (1:2:4) with 12mm. size hard granite chips for ground floor</t>
  </si>
  <si>
    <t>Crusher Broken granite metal 12mm size</t>
  </si>
  <si>
    <t>Cement Concrete (1:2:4) with 12mm size hard granite metal.</t>
  </si>
  <si>
    <t>R C C  M20  with 20mm dia nominal size  stone aggregrate for  slab including centering &amp; shuttering</t>
  </si>
  <si>
    <t>12mm cement plaster with cement mortar 1:6 inside with neat cement punning</t>
  </si>
  <si>
    <t>12mm cement plaster with cement  mortar 1:6</t>
  </si>
  <si>
    <t>R C C  M20 with 20mm dia naminal size  stone aggregrate for  slab</t>
  </si>
  <si>
    <t>12mm cement plaster (1:6)</t>
  </si>
  <si>
    <t>RCC cover slab with M20</t>
  </si>
  <si>
    <t>Excavation in ordinary soil with initial lead &amp; lift upto 3m</t>
  </si>
  <si>
    <t>12mm thick Cement Plaster (1:6) with punning</t>
  </si>
  <si>
    <t>Data for 1 sqm (ground floor roof)</t>
  </si>
  <si>
    <t xml:space="preserve">Crusher broken granite chips of 4.7mm.size </t>
  </si>
  <si>
    <t>Cum.</t>
  </si>
  <si>
    <t>Cement (43 grade)</t>
  </si>
  <si>
    <t>Qtl.</t>
  </si>
  <si>
    <t xml:space="preserve">Mason (special) </t>
  </si>
  <si>
    <t xml:space="preserve">Man Mulia </t>
  </si>
  <si>
    <t>Man mulia for mixing chips,sand and cement</t>
  </si>
  <si>
    <t>Overhead Charges @ 7.5 %</t>
  </si>
  <si>
    <t xml:space="preserve">Contractor's profit @ 7.5 % </t>
  </si>
  <si>
    <t>205mm thick garding concrete (1:2:2)</t>
  </si>
  <si>
    <t>VII. DETAILED ESTIMATE FOR WATER SUPPLY &amp; SANITARY INSTALLATION OF BOATING COMPLEX  AT ATHARANALA,PURI</t>
  </si>
  <si>
    <r>
      <t xml:space="preserve">Supplying all materials,labours,T&amp;P and fixing the vitreous china wash down </t>
    </r>
    <r>
      <rPr>
        <b/>
        <sz val="10"/>
        <rFont val="Arial"/>
        <family val="2"/>
      </rPr>
      <t>European water closet</t>
    </r>
    <r>
      <rPr>
        <sz val="10"/>
        <rFont val="Arial"/>
        <family val="2"/>
      </rPr>
      <t xml:space="preserve"> with P trap (Make:</t>
    </r>
    <r>
      <rPr>
        <b/>
        <sz val="10"/>
        <rFont val="Arial"/>
        <family val="2"/>
      </rPr>
      <t>-Parryware,Cat no-C0278)</t>
    </r>
    <r>
      <rPr>
        <sz val="10"/>
        <rFont val="Arial"/>
        <family val="2"/>
      </rPr>
      <t xml:space="preserve"> &amp; cistern (Make:-Parryware,Cat no-C8157) of approved type to the floor with wooden plug and chromium plated pedestal screws including jointing the trap with soil pipe in cement mortar (1:1) fixing plastic seat and cover for wash down water closet with chromium plated brass hinges and rubber buffers including polishing etc all complete as per specification and direction of Engineer-in-charge.</t>
    </r>
  </si>
  <si>
    <r>
      <t xml:space="preserve">Supplying all materials, labour, T&amp;P and fixing 480mm </t>
    </r>
    <r>
      <rPr>
        <b/>
        <sz val="10"/>
        <rFont val="Arial"/>
        <family val="2"/>
      </rPr>
      <t>Counter top wash basin</t>
    </r>
    <r>
      <rPr>
        <sz val="10"/>
        <rFont val="Arial"/>
        <family val="2"/>
      </rPr>
      <t xml:space="preserve"> of </t>
    </r>
    <r>
      <rPr>
        <b/>
        <sz val="10"/>
        <rFont val="Arial"/>
        <family val="2"/>
      </rPr>
      <t>Parryware make having Cat no-C0464</t>
    </r>
    <r>
      <rPr>
        <sz val="10"/>
        <rFont val="Arial"/>
        <family val="2"/>
      </rPr>
      <t xml:space="preserve"> with hole for pillar tap of Jaquar make having cat no-MQT-507  with  cast iron  or M.S. brackets painting with white paint including  cutting the holes in wall &amp; making good the damages etc. and complete as per the direction of  E-I-C.</t>
    </r>
  </si>
  <si>
    <r>
      <t xml:space="preserve">Supply of all materials, labour, T&amp;P , fitting and fixing in all floors fixed &amp; reflection type,rectangular shape </t>
    </r>
    <r>
      <rPr>
        <b/>
        <sz val="10"/>
        <rFont val="Arial"/>
        <family val="2"/>
      </rPr>
      <t>glass mirror</t>
    </r>
    <r>
      <rPr>
        <sz val="10"/>
        <rFont val="Arial"/>
        <family val="2"/>
      </rPr>
      <t xml:space="preserve"> (Make:- </t>
    </r>
    <r>
      <rPr>
        <b/>
        <sz val="10"/>
        <rFont val="Arial"/>
        <family val="2"/>
      </rPr>
      <t>Parryware,Cat no- C8608</t>
    </r>
    <r>
      <rPr>
        <sz val="10"/>
        <rFont val="Arial"/>
        <family val="2"/>
      </rPr>
      <t xml:space="preserve"> ) of  size  600mm x 450mm size thick best Indian make ,supply of 13mm thick asbestos backing and CP Brass screw including material cost ,conveyance, taxes of all materials complete as per specification and direction of Engineer-in-charge.</t>
    </r>
  </si>
  <si>
    <r>
      <t xml:space="preserve">Providing and fixing C.P. </t>
    </r>
    <r>
      <rPr>
        <b/>
        <sz val="10"/>
        <rFont val="Arial"/>
        <family val="2"/>
      </rPr>
      <t xml:space="preserve">Corner Glass  shelves </t>
    </r>
    <r>
      <rPr>
        <sz val="10"/>
        <rFont val="Arial"/>
        <family val="2"/>
      </rPr>
      <t xml:space="preserve"> of </t>
    </r>
    <r>
      <rPr>
        <b/>
        <sz val="10"/>
        <rFont val="Arial"/>
        <family val="2"/>
      </rPr>
      <t>Jaquar make having Cat no- ACN-1173</t>
    </r>
    <r>
      <rPr>
        <sz val="10"/>
        <rFont val="Arial"/>
        <family val="2"/>
      </rPr>
      <t xml:space="preserve">  fixed to wall including cutting the wall and making good the damages, including cost of all materials complete as per PH specification and direction of Engineering-in-charge.</t>
    </r>
  </si>
  <si>
    <r>
      <t xml:space="preserve">Supplying all materials, labour, T&amp;P and fixing standard sized  </t>
    </r>
    <r>
      <rPr>
        <b/>
        <sz val="10"/>
        <rFont val="Arial"/>
        <family val="2"/>
      </rPr>
      <t>CP</t>
    </r>
    <r>
      <rPr>
        <sz val="10"/>
        <rFont val="Arial"/>
        <family val="2"/>
      </rPr>
      <t>-</t>
    </r>
    <r>
      <rPr>
        <b/>
        <sz val="10"/>
        <rFont val="Arial"/>
        <family val="2"/>
      </rPr>
      <t xml:space="preserve">Double hook </t>
    </r>
    <r>
      <rPr>
        <sz val="10"/>
        <rFont val="Arial"/>
        <family val="2"/>
      </rPr>
      <t xml:space="preserve">of </t>
    </r>
    <r>
      <rPr>
        <b/>
        <sz val="10"/>
        <rFont val="Arial"/>
        <family val="2"/>
      </rPr>
      <t>Jaquar o make having cat no-ACN-1161N</t>
    </r>
    <r>
      <rPr>
        <sz val="10"/>
        <rFont val="Arial"/>
        <family val="2"/>
      </rPr>
      <t xml:space="preserve"> complete including cutting the wall and making good the damages, including cost of all materials complete as per PH specification and direction of Engineering-in-charge.</t>
    </r>
  </si>
  <si>
    <r>
      <t xml:space="preserve">Supplying all materials, labour, T&amp;P and fixing standard sized  CP </t>
    </r>
    <r>
      <rPr>
        <b/>
        <sz val="10"/>
        <rFont val="Arial"/>
        <family val="2"/>
      </rPr>
      <t>Soap dish</t>
    </r>
    <r>
      <rPr>
        <sz val="10"/>
        <rFont val="Arial"/>
        <family val="2"/>
      </rPr>
      <t xml:space="preserve"> holder of </t>
    </r>
    <r>
      <rPr>
        <b/>
        <sz val="10"/>
        <rFont val="Arial"/>
        <family val="2"/>
      </rPr>
      <t xml:space="preserve">Jaquar make having cat no-ACN 1131N </t>
    </r>
    <r>
      <rPr>
        <sz val="10"/>
        <rFont val="Arial"/>
        <family val="2"/>
      </rPr>
      <t>complete including cutting the wall and making good the damages, including cost of all materials complete as per PH specification and direction of Engineering-in-charge.</t>
    </r>
  </si>
  <si>
    <r>
      <t xml:space="preserve">Supplying all materials, labour, T&amp;P and fixing standard sized </t>
    </r>
    <r>
      <rPr>
        <b/>
        <sz val="10"/>
        <rFont val="Arial"/>
        <family val="2"/>
      </rPr>
      <t>Toilet Roll Holder</t>
    </r>
    <r>
      <rPr>
        <sz val="10"/>
        <rFont val="Arial"/>
        <family val="2"/>
      </rPr>
      <t xml:space="preserve"> of </t>
    </r>
    <r>
      <rPr>
        <b/>
        <sz val="10"/>
        <rFont val="Arial"/>
        <family val="2"/>
      </rPr>
      <t>Jaquar make having cat no- ACN 1151N</t>
    </r>
    <r>
      <rPr>
        <sz val="10"/>
        <rFont val="Arial"/>
        <family val="2"/>
      </rPr>
      <t xml:space="preserve"> complete including cutting the wall and making good the damages, including cost of all materials complete as per PH specification and direction of Engineering-in-charge.</t>
    </r>
  </si>
  <si>
    <r>
      <t xml:space="preserve">Supplying all materials, labour, T&amp;P and fixing standard sized  </t>
    </r>
    <r>
      <rPr>
        <b/>
        <sz val="10"/>
        <rFont val="Arial"/>
        <family val="2"/>
      </rPr>
      <t xml:space="preserve">CP Grab Bar </t>
    </r>
    <r>
      <rPr>
        <sz val="10"/>
        <rFont val="Arial"/>
        <family val="2"/>
      </rPr>
      <t xml:space="preserve">300mm Long of </t>
    </r>
    <r>
      <rPr>
        <b/>
        <sz val="10"/>
        <rFont val="Arial"/>
        <family val="2"/>
      </rPr>
      <t>Jaquar Kubix Prime make having cat no-AKP-35701P</t>
    </r>
    <r>
      <rPr>
        <sz val="10"/>
        <rFont val="Arial"/>
        <family val="2"/>
      </rPr>
      <t xml:space="preserve">  complete including cutting the wall and making good the damages, including cost of all materials complete as per PH specification and direction of Engineering-in-charge.</t>
    </r>
  </si>
  <si>
    <t>110mm dia pipe</t>
  </si>
  <si>
    <t>RM</t>
  </si>
  <si>
    <t>75mm dia pipe</t>
  </si>
  <si>
    <t>Providing and fixing 110mm dia PVC door bend of required degree with access door, insertion rubber washer 3mm thick, bolts and nuts complete as per specification and direction of the engineer in charge</t>
  </si>
  <si>
    <t>Providing and fixing 110mm dia PVC plain bend of required degree with access door, insertion rubber washer 3mm thick, bolts and nuts complete as per specification and direction of the engineer in charge</t>
  </si>
  <si>
    <t>Providing &amp; fixing 110mm dia PVC heel rest sanitary bends:</t>
  </si>
  <si>
    <t>Providing &amp; fixing 110mm dia PVC SWR Door tee</t>
  </si>
  <si>
    <t>Providing &amp; fixing 110mm dia PVC SWR cross tee</t>
  </si>
  <si>
    <t>Providing &amp; fixing 110mm dia PVC SWR cowl</t>
  </si>
  <si>
    <t>Providing and fixing  circular type stainless steel  jalli (grating) with hole for floor /nahani trap etc complete as per specification and direction of the engineer in charge</t>
  </si>
  <si>
    <t>Providing &amp; fixing sand cast iron trap of 110mm dia inlet and 110mm dia outlet of self cleaning design with sand cast iron screwed down or hinged grating with or without vent arm complete, including cost of cutting and making good the walls and floors etc complete as per direction of Engineer-in-charge.</t>
  </si>
  <si>
    <t>Supplying all materials,labours,T&amp;P and providing and fixing to wall or ceiling and floor PVC pipes conforming to ASTM-D-1785/89 (Sch-80) and pipe fittings of the following nominal bore with clamps including making good the wall,ceiling and floor all complete as per specification and direction of the Engineer-in-charge. (Make:-Supreme Gold)</t>
  </si>
  <si>
    <t>15 mm dia PVC ASTM pipe (sch-80)</t>
  </si>
  <si>
    <t>25 mm dia PVC ASTM pipe (sch-80)</t>
  </si>
  <si>
    <t>32 mm dia PVC ASTM pipe (sch-80)</t>
  </si>
  <si>
    <t xml:space="preserve">d </t>
  </si>
  <si>
    <t>50 mm dia PVC ASTM pipe (sch-80)</t>
  </si>
  <si>
    <r>
      <t>Supplying all materials, labour, T&amp;P and fixing standard sized Bib Cock</t>
    </r>
    <r>
      <rPr>
        <b/>
        <sz val="10"/>
        <rFont val="Arial"/>
        <family val="2"/>
      </rPr>
      <t xml:space="preserve"> of Jaquar make having Cat no CON-037KN</t>
    </r>
    <r>
      <rPr>
        <sz val="10"/>
        <rFont val="Arial"/>
        <family val="2"/>
      </rPr>
      <t xml:space="preserve"> complete including cutting the wall and making good the damages, including cost of all materials complete as per PH specification and direction of Engineering-in-charge.</t>
    </r>
  </si>
  <si>
    <r>
      <t>Supplying all materials, labour, T&amp;P and fixing 2 way Bib Cock</t>
    </r>
    <r>
      <rPr>
        <b/>
        <sz val="10"/>
        <rFont val="Arial"/>
        <family val="2"/>
      </rPr>
      <t xml:space="preserve"> of Jaquar Continental make having Cat no- CON 041KN</t>
    </r>
    <r>
      <rPr>
        <sz val="10"/>
        <rFont val="Arial"/>
        <family val="2"/>
      </rPr>
      <t xml:space="preserve"> complete including cutting the wall and making good the damages, including cost of all materials complete as per PH specification and direction of Engineering-in-charge.</t>
    </r>
  </si>
  <si>
    <r>
      <t>Supplying all materials, labour, T&amp;P and fixing standard sized  15mm dia</t>
    </r>
    <r>
      <rPr>
        <b/>
        <sz val="10"/>
        <rFont val="Arial"/>
        <family val="2"/>
      </rPr>
      <t xml:space="preserve"> Angular Stop cock of Jaquar make having Cat no- CON 053KN</t>
    </r>
    <r>
      <rPr>
        <sz val="10"/>
        <rFont val="Arial"/>
        <family val="2"/>
      </rPr>
      <t xml:space="preserve">  complete including cutting the wall and making good the damages, including cost of all materials complete as per PH specification and direction of Engineering-in-charge.</t>
    </r>
  </si>
  <si>
    <t>Providing and fixing 25mm nominal bore brass fullyway  valve with C.I. wheel of approved quality (screwed  end) with supply of all jointing materials complete as per specification and direction of Engineer-in-charge.</t>
  </si>
  <si>
    <t>Supplying all materials,labour,T&amp;P and fixing Rotational moulded polyethylene cyndrical vertical water storage tanks of 1000 ltr capacity confirming to IS:12701-1996 including cutting holes through the tank and fixing mild steel tubes and fittings and providing extra sockets and jam nuts,fixing ball valve etc,including hoisting upto a height of 5 mtr above ground level and placing the tank to the required position including conveyance of all materials to worksite etc all complete as per specification and direction of Engineer-in-charge.</t>
  </si>
  <si>
    <t>Supplying all materials, labour, T&amp;P and constructing brick masonry Inspection chamber of following sizes as per PH standard specification, design, drawing and direction of Engineer-in-charge.</t>
  </si>
  <si>
    <t>Inside size 0.45 x0.45 x0.46m with RCC manhole cover.</t>
  </si>
  <si>
    <t>Supplying all material, labour , T&amp;P, for construction of  250mmx250mm  size Gulley trap chamber by K.B bricks masonary having crushing strength 75 to 99kg/sqcm with 250 x 250mm CI grating including labour &amp; materials for fitting &amp; fixing 160 x110 mm size gully trap square mouth HCL gulley trap with a block of C.C (1:3:6) with 25mm size hard stone metal all complete with providing &amp; fixing of 300mm X 300mm precast SFRC cover with frame as per approved design &amp; specification &amp; as per instruction of of the EIC including cost, conveyance, taxes of all materials to site complete as per direction of Engineer-in-charge.</t>
  </si>
  <si>
    <t>Supplying &amp; laying  in trenches unplasticized  UPVC SWR  type-A pipes and specials of the following outside dia for all classes including jointing with supply of approved solvent cement by non-heat application method including  testing  as per standard specification including  earth work in excavation  of trenches in all kind of soil in the required depth &amp; refilling of pipe line trenches in 0.3048 Mtrs or  fixing to walls, floors with supply of necessary  clamps,nails,wall plugs etc. all complete as per the direction of EIC.</t>
  </si>
  <si>
    <t>a) 75mm dia</t>
  </si>
  <si>
    <t>b) 110mm dia</t>
  </si>
  <si>
    <t>Providing &amp; laying cement concrete 1:4:8 with 4cm size metal other than granite in the following type of sorrounding  or encasing of UPVC SWR pipes   including bed concreting  &amp; curing complete.</t>
  </si>
  <si>
    <t>a) Type-CI standard bedding</t>
  </si>
  <si>
    <t>Supplying all materials, labour and T&amp;P and constructing RCC Man-hole chamber with 150mm thick R.C.C. top slab in (1:1.5:3) mix with foundation lean concrete (1:4:8) inside plaster 12mm. thick with cement mortar (1:3) finished with neat cement punning, RCC in (1:1.5:3) mix in wall and base including rigid and smooth centring and shuttering, cost of reinforcement as per specification including benching and chanelling complete including earth work in excavation and refilling the cavity with disposal of surplus earth beyond the site.</t>
  </si>
  <si>
    <t>a) Manhole of size 1200mm x 900mm x 900mm with 150mm thick RCC slab with SFRC MH cover</t>
  </si>
  <si>
    <t>Construction of RCC septic tank having internal size 3.7mx1.2mx1.5m (depth) for 50 users with 150mm thick PCC1:4:8, RCC in CC 1:1.5:3 in base, wall and slab and baffle walls including centring and shuttering and reinforcement- the thickness of base, wall and slab to be 250mm, inside finishing with 12mm thick CP in CM 1:3 with a floating coat of neat cement punning complete including earth work in stoney earth/ hard rock, refilling the cavity with disposal of surplus earth beyond the site all complete.</t>
  </si>
  <si>
    <t>Supplying all materials,labours,T&amp;P and constructing 1.22m dia and 2.1m depth soakway pit with precast RCC rings joined loose,gravel backing in the rear of well steining,precast RCC cover slab in cement concrete (1:2:4) using 12mm size hg chips fitted with iron lifting handles including cutting hole in the rings for inlet pipe,earthwork in open well excavation in all kinds of soil and refilling of cavity around the pit &amp; painting the iron works, watering, curing,conveyance of all materials to worksite, payment of royalty, taxes etc all complete as per approved specification and direction of Engineer-in-charge.</t>
  </si>
  <si>
    <t>Supplying all material, labour, T&amp;P, taxes etc. for fitting, and fixing of water purifier cum cooler of approved make with all required fittings and accessories including supply of all materials and with testing and commissioning etc.  all  complete as directed  by the Engineer-in-charge.</t>
  </si>
  <si>
    <t>DETAILED ESTIMATE FOR BOATING COMPLEX OF ATHARANALA,PURI.</t>
  </si>
  <si>
    <t xml:space="preserve"> Filling Foundation and plinth with excavated  ordinary soil etc complete.</t>
  </si>
  <si>
    <t>Pilecap</t>
  </si>
  <si>
    <t>Roof slab</t>
  </si>
  <si>
    <t>Chajja</t>
  </si>
  <si>
    <t xml:space="preserve">Supply M.S. reinforcement for R.C.C. work including cutting, bending, binding and tying the grills and placing in position including cost of reinforcement and binding wire 18 to 20 gauge. </t>
  </si>
  <si>
    <r>
      <t>First class kiln burnt brick masonry using K.B. bricks of size 25cm x 12 cm x 8 cm having crushing strength not less than 75 kg. Per Sqr. Cm. In cement mortar of mix(1:6) with cement and screened and washed sharp sand for mortar after immersing the bricks for 6 (six) hours in water before use</t>
    </r>
    <r>
      <rPr>
        <b/>
        <sz val="10"/>
        <rFont val="Arial"/>
        <family val="2"/>
      </rPr>
      <t xml:space="preserve"> in foundation, plinth</t>
    </r>
    <r>
      <rPr>
        <sz val="10"/>
        <rFont val="Arial"/>
        <family val="2"/>
      </rPr>
      <t>, basement and for ornamental flower beds, plinth moulding and similar such type of works with all necessary projections, splays cutting, circular moulding, corbelling, chamfering, watering and curing etc. including cost, conveyance, loading unloading, royalties and taxes of all materials and cost of all labour, sundries, T &amp; P required for the works etc. complete in all respect as directed by the Engineer-in-Charge.</t>
    </r>
  </si>
  <si>
    <r>
      <t>First class kiln burnt brick masonry using K.B. bricks of size 25 cm. x 12 cm. x 8 cm. having crushing strength not less than 75 kg. Per Sqr. Cm. in cement mortar of mix (1:6) with cement after immersing the bricks for 6 (Six) hours in water before use</t>
    </r>
    <r>
      <rPr>
        <b/>
        <sz val="10"/>
        <rFont val="Arial"/>
        <family val="2"/>
      </rPr>
      <t xml:space="preserve"> in superstructure </t>
    </r>
    <r>
      <rPr>
        <sz val="10"/>
        <rFont val="Arial"/>
        <family val="2"/>
      </rPr>
      <t>including splays cutting, circular moulding, corbelling, chamfering and similar such type of works, watering and curing etc. including cost, coveyance, loading and unloading, royalties and taxes of all materials and cost of all labour, scaffolding, sundries, T&amp;P required for the works etc. complete in all respect as directed by the Engineer-in-charge.</t>
    </r>
  </si>
  <si>
    <r>
      <t xml:space="preserve">Providing, Fitting  &amp;  Fixing  of 8 mm. to 12mm.  thick </t>
    </r>
    <r>
      <rPr>
        <b/>
        <sz val="10"/>
        <rFont val="Arial"/>
        <family val="2"/>
      </rPr>
      <t>Vitrified Tile</t>
    </r>
    <r>
      <rPr>
        <sz val="10"/>
        <rFont val="Arial"/>
        <family val="2"/>
      </rPr>
      <t xml:space="preserve"> ( of size 600 m.m x  600 m.m )or equivalent make confirming to IS specifications having minimum breaking strength 1400 kg/sq.cm  </t>
    </r>
    <r>
      <rPr>
        <b/>
        <sz val="10"/>
        <rFont val="Arial"/>
        <family val="2"/>
      </rPr>
      <t xml:space="preserve"> in flooring </t>
    </r>
    <r>
      <rPr>
        <sz val="10"/>
        <rFont val="Arial"/>
        <family val="2"/>
      </rPr>
      <t>in all floors at all heights on 25mm thick bed of cement mortar(1:4) to proper slope, line and level including cutting to required size and shape, fixing at corners and splays etc. including filling the joints with   silicon sealant to match the shade of  Vitrified Tile   as per the design &amp; drawing   including cost, conveyance, loading, unloading, stacking,royalties and taxes of all materials, cost of all labour, T &amp; P, sundries, watering &amp; curing etc. required for the work complete in all respect as directed by the Engineer-in-Charge.</t>
    </r>
  </si>
  <si>
    <r>
      <t>Providing vitrified tile flooring using Anti skid /</t>
    </r>
    <r>
      <rPr>
        <b/>
        <sz val="10"/>
        <rFont val="Arial"/>
        <family val="2"/>
      </rPr>
      <t xml:space="preserve"> vitrified tiles</t>
    </r>
    <r>
      <rPr>
        <sz val="10"/>
        <rFont val="Arial"/>
        <family val="2"/>
      </rPr>
      <t xml:space="preserve"> of premium grade having thickness of 8 to 10mm conforming to IS 13756 of 600mmX600mm colour/printed series (homogeneous) of approved quality,colour of somany royale series/RAK gold plus series/Asian /Aerosia series/Johnson or equivalent in </t>
    </r>
    <r>
      <rPr>
        <b/>
        <sz val="10"/>
        <rFont val="Arial"/>
        <family val="2"/>
      </rPr>
      <t>dados &amp; skirting</t>
    </r>
    <r>
      <rPr>
        <sz val="10"/>
        <rFont val="Arial"/>
        <family val="2"/>
      </rPr>
      <t xml:space="preserve"> on 12mm thick bed of cement mortar of mix (1:3) laid in proper slope and gradient with screened and washed sharp sand for mortar and grouted with required quantities of pigments of approved marks to match the shades of the vitrified tile if required watering and curing for 21 days including cost,conveyance,loading,unloading,royalties and taxes of all materials,cost of all labour,sundries,T &amp; P required for the work complete in all respect as directed by the Engineer-in-charge.</t>
    </r>
  </si>
  <si>
    <t>Providing &amp; fittiing up of fixed ventilator/fixed windows / partition walling  using OEL  aluminum anodized section No.9210 &amp;9207 as single groov and double groov respectively as horizontal &amp;vertical member and OEL section 4660 as Tapered clip for fixing up of 5mm thick black glass and jointing angle No.1855 etc complete as per direction of Engg. in charge.</t>
  </si>
  <si>
    <t>Providing, fitting and fixing fully glazed aluminium sliding windows (2 track), made out of extruded aluminium alloy sections as per drawing anodized to 15 microns in silver satin mat finish, confirming to IS specification with necessary fittings, fixtures and hardwares like concealed locks , aluminium handles, etc., glazed with 5mm thick frosted glass free from bubbles, holes or any surface deformation, with sun reflective film, as per the drawing and design, and fixed to the walls or columns with lugs in cement concrete 1:2:4 cutting holes and mending good to all damages, including filling gaps if any, between the frames walls/ columns, with appropriate sealant, including cost of all materials, labour, conveyance, taxes, royalties, scaffolding, sundries, tools and plants, etc., complete as per the direction of the Engineer-in-charge.</t>
  </si>
  <si>
    <t>12 m.m thick cement plaster in cement mortar of mix (1:6) in all floors at all height  using  screened &amp;  washed sharp river sand for mortar with approved quality of cement, finished smooth to the even surface of  the brick masonry walls after racking out the joints properly ,providing grooves wherever necessary  including  cost, conveyance, loading, unloading,stacking, royalties and taxes of all Materials,  cost of all Labour, T&amp;P, Sundries , Scaffolding, Watering, Curing,Rounding of corners etc.  required for the work  complete   etc.  as directed by the Engineer- in -charge.</t>
  </si>
  <si>
    <t>16 m.m thick cement plaster in cement mortar of mix (1:6) in all floors at all height  using  screened &amp;  washed sharp river sand for mortar with approved quality of cement, finished smooth to the rough surface of  the brick masonry walls after racking out the joints properly ,providing grooves wherever necessary  including  cost, conveyance, loading, unloading,stacking, royalties and taxes of all Materials,  cost of all Labour, T&amp;P, Sundries , Scaffolding, Watering, Curing,Rounding of corners etc.  required for the work  complete   etc.  as directed by the Engineer- in -charge.</t>
  </si>
  <si>
    <t>6 m.m thick cement plaster in cement mortar of mix (1:4)  in all floors at all height using screened  &amp; washed sharp  river sand  for  mortar with approved quality of cement to  the ceiling  of  the Roof Slab, Staircase,  Beams, Columns,Landings, Railings,Chajja ,Fins ,Walls ,Jally  and Shelves etc. including roughening, scraping, chiseling, cleaning, closed deep chipping with slurry treatment and finished smooth to all  R.C.C. Surface including cost, conveyance, loading, unloading,   royalties ,stacking and taxes of all Materials, cost of all Labour,Sundries, T&amp;P, Scaffolding,Watering, Curing etc. complete in all respect as directed by the Engineer- in- charge</t>
  </si>
  <si>
    <t>25 mm. thick Grading Concrete of proportion (1:2:2) on top of the Roof Slab using approved quality of  cement, 6 mm. size hard crusher broken granite stone chips with screened  &amp;  washed sharp sand for mortar of approved quality from approved quarry, washed &amp; cleaned, free from all debrises and silt including hoisting, lowering and laying concrete in all floors at all height after chipping, chiseling and cleaning the entire roof surface by using wire brush, finished smooth to proper required slope and gradient  including cost, conveyance, royalties, loading, unloading,stacking and taxes of all Materials, cost of all Labour, T &amp;P, Sundries, Watering ,Curing  etc.required for the work complete in all respect as directed by the Engineer-in-charge.</t>
  </si>
  <si>
    <t>Wall painting 2 coats with plastic emulsion paint &amp; putty of approved shade on new work over a coat of oil bound primer to give an even shade .</t>
  </si>
  <si>
    <t>Outside painting two coats with weather shield paint over a coat of oil bound primer .</t>
  </si>
  <si>
    <t>Providing fixing of granite top over RCC slab with necessary moldings and grooves  finishid well including cutting hole to facilitate the provision of undercounter basin and pillar cock as per the drawing instruction of engineer in charge.</t>
  </si>
  <si>
    <t>Providing &amp; fixing in position at any location  32 mm thick  ISI marked factory made solid core block board flush  door confirming to IS:2202, finishing with 1mm Royal touch sunmica on both side as directed,  cost includes of all hardware fitting like lock ,  door stopper, tower bolt, hinges,  of approved make  etc. cost includes all material,  labour, tools and plant , tax as per drawing and directed by Engineer-in-charge.</t>
  </si>
  <si>
    <t>R.C.C. Foundation,plinth band and footings bases of columns mass concrete precast slabs etc</t>
  </si>
  <si>
    <t>Rigid  and smooth centering and shuttering for R.C.C. works including false works and dismantling them after casting including cost of materials complete in ground floor</t>
  </si>
  <si>
    <t>R.C.C. floor and roof slabs, landings, balconies, projecting sun shades and chajjas up to 4.3m height</t>
  </si>
  <si>
    <t>non-sal wood scantling (Tentera, Kasi, Gamhari, Kuruma)</t>
  </si>
  <si>
    <t>non-sal wood planks (Tentera, Kasi, Gamhari, Kuruma)</t>
  </si>
  <si>
    <t>120mm dia sal bullah</t>
  </si>
  <si>
    <t>Details for 9sqm.</t>
  </si>
  <si>
    <t>R.C.C. Lintel</t>
  </si>
  <si>
    <t>Data for 7.8 sqm</t>
  </si>
  <si>
    <t>38mm thick non sal planks</t>
  </si>
  <si>
    <t>125mm dia non sal bullah</t>
  </si>
  <si>
    <r>
      <t>RCC work M 20 grade with 20mm and down grade black granite crusher broken stone chips including hoisting and laying with centring and shuttering for</t>
    </r>
    <r>
      <rPr>
        <b/>
        <sz val="10"/>
        <color indexed="10"/>
        <rFont val="Arial"/>
        <family val="2"/>
      </rPr>
      <t xml:space="preserve"> Lintel Beam</t>
    </r>
  </si>
  <si>
    <r>
      <t xml:space="preserve">RCC work M 20 grade with 20mm and down grade black granite crusher broken stone chips including hoisting and laying with centring and shuttering for </t>
    </r>
    <r>
      <rPr>
        <b/>
        <sz val="10"/>
        <color indexed="10"/>
        <rFont val="Arial"/>
        <family val="2"/>
      </rPr>
      <t>Staircase</t>
    </r>
  </si>
  <si>
    <r>
      <t xml:space="preserve">Rate of </t>
    </r>
    <r>
      <rPr>
        <sz val="10"/>
        <color indexed="10"/>
        <rFont val="Arial"/>
        <family val="2"/>
      </rPr>
      <t>shuttering</t>
    </r>
  </si>
  <si>
    <t>Brick work with Fly ash bricks of 23cmx11cmx8cm. Size having crushing strength not less than 75 Kg/Sqcm. With dimensional  tolerance +2%. percent in cement mortar (1:6)  brick masonary in foundation &amp; plinth</t>
  </si>
  <si>
    <t xml:space="preserve">Brick work with Fly ash bricks of 23cmx11cmx8cm. Size having crushing strength not less than 75 Kg/Sqcm. With dimensional  tolerance +2%. percent in cement mortar (1:6)  brick masonary in superstructure </t>
  </si>
  <si>
    <t>Vitrified tile flooring ground floor</t>
  </si>
  <si>
    <t>Ground floor</t>
  </si>
  <si>
    <t>Cost of tile</t>
  </si>
  <si>
    <t>Wall painting 2 coats with plastic emulsion paint of approved shade on new work over a coat of oil bound primer to give an even shade for ground floor upto 3.6 mtr</t>
  </si>
  <si>
    <t>ESTIMATE FOR BOATING COMPLEX</t>
  </si>
  <si>
    <t>Wall</t>
  </si>
  <si>
    <t>Below pile foundation</t>
  </si>
  <si>
    <t>Below Tie beam</t>
  </si>
  <si>
    <t>Below floor</t>
  </si>
  <si>
    <t>Below steps</t>
  </si>
  <si>
    <t>Lintel beam</t>
  </si>
  <si>
    <t xml:space="preserve"> 120 kg / cum of concrete</t>
  </si>
  <si>
    <t>In foundation &amp; plinth</t>
  </si>
  <si>
    <t>In Super structure</t>
  </si>
  <si>
    <t>Deduction</t>
  </si>
  <si>
    <t>W</t>
  </si>
  <si>
    <t>(6mm) Ceiling Plaster</t>
  </si>
  <si>
    <t>(12mm) Inner Plaster</t>
  </si>
  <si>
    <t xml:space="preserve">(16mm) Outer Plaster </t>
  </si>
  <si>
    <t>Deduction for doors &amp; windows</t>
  </si>
  <si>
    <t>Grading plaster</t>
  </si>
  <si>
    <t>Plastic emulsion paint</t>
  </si>
  <si>
    <t>weather coat paint</t>
  </si>
  <si>
    <t>Toilet wall tile(Glazed Tile)</t>
  </si>
  <si>
    <t>Deduction for doors &amp; ventilator</t>
  </si>
  <si>
    <t>Toilet Flooring tile (Ceramic)</t>
  </si>
  <si>
    <t>Vitrified tile</t>
  </si>
  <si>
    <t>Vitrified tile (skirting)</t>
  </si>
  <si>
    <t>Flush door</t>
  </si>
  <si>
    <t>Aluminum window</t>
  </si>
  <si>
    <t>Ventilator</t>
  </si>
  <si>
    <t>Granite Slab</t>
  </si>
  <si>
    <t>PVC Door</t>
  </si>
  <si>
    <t>PVC Door Frame</t>
  </si>
  <si>
    <t>d)     Carriage</t>
  </si>
  <si>
    <t>R.C.C beams, column, girder and bressmer, etc. for ground floor</t>
  </si>
  <si>
    <t>R.C.C walls and fins including attached pillasters for ground floor</t>
  </si>
  <si>
    <t>v</t>
  </si>
  <si>
    <t xml:space="preserve">2.5cm. thick grading concrete (1:2:2)on roof slab with 6mm. Size on new work  crusher broken hard Granite chips including cost of all labour, materials with all taxes, lead, T &amp; P etc all complete.  </t>
  </si>
  <si>
    <t>Providing and laying ceramic GLAZED wall TILES of any approved make &amp; shade on wall on a bed of 12mm thick cement mortar 1:3 (1 Cement :3 Coarse sand) finished with flush pointing in white cement &amp; pigment to match the shade of the tiles.</t>
  </si>
  <si>
    <t>Cost of Ceramic Glazed wall tile.</t>
  </si>
  <si>
    <t>Or say</t>
  </si>
  <si>
    <t>Vitrified tile dado/Skirting</t>
  </si>
  <si>
    <t>Second  Floor</t>
  </si>
  <si>
    <t>GF</t>
  </si>
  <si>
    <t>First floor</t>
  </si>
  <si>
    <t>Second floor</t>
  </si>
  <si>
    <t>Painting two coats of plastic emulsion paint with primer &amp; putty on interior wall surface and applying sand paper to smooth the surface of reputed make including cost of all material labour scafolding T&amp;P etc all complete as directed by engg. on Charge.</t>
  </si>
  <si>
    <t>Supplying, fitting and fixing M.S. grill made out  of structural steel, flats, plates, bars, confirming to IS specification for windows, ventilators etc. as per drawing and design, fixed to walls with clamps including  1 priming coat with approved metal primer and making good to all damages in walls and floors etc. including cost of all materials, labour, conveyance, taxes, royalties, scaffolding, sundries, tools and plants, etc., complete as per the direction of the Engineer-in-charge.</t>
  </si>
  <si>
    <t xml:space="preserve">Providing and painting two coats with synthetic enamel paint of approved quality and approved shade confirmming to ISI on steel work to give an even shade in all floors at all height over a coat of primer of approved quality and shade including sand papering and making the surface smooth with cost, coveyance, loading and unloading, and taxes of all materials, cost of all labour, sundries, T&amp;P, scaffolding etc. required for the work and complete in all respect as directed by Engineer-in-charge. </t>
  </si>
  <si>
    <t>Providing two coats  of weather coat over a coat of Priming (with water based  Exterior Primer)of approved quality and colour, using the required quantity of paint as specified by the manufecturer to give all external surface  over the finished plaster surface including watering  the surface before applying and curing for the required period as directed by the Engineer-in-charge including cost of all materials with taxes and transportation, all labour, scaffolding, sundries, T&amp;P etc. complete.</t>
  </si>
  <si>
    <t xml:space="preserve">Supplying, fitting, fixing up powder coated sliding window made up aluminum Section 9778 , as windows frame section No.4095,4096 and 9777,3994  as shutter frame with 5mm thick black glass as panel fitted with rubber bending including locking arrangement including all fitting including cost of materials all taxes labour, T&amp;P (Including cost of Glass) etc. complete as per direction of Engineer-in-charge. </t>
  </si>
  <si>
    <t>rmt</t>
  </si>
  <si>
    <t>Providing and fixing Ultra/Eurocon tiles in dado &amp; skirting  on 25 mm thick bed of cement mortar 1:1 (1cement:1sand) jointed with neat cement slurry mixed with pigments to match the shade of the tiles including rubbing and polishing complete for porch.</t>
  </si>
  <si>
    <t>O.H. charge &amp; contractors profit @ 15%</t>
  </si>
  <si>
    <t>Data for 4'-0" x 4'-0" = 16 Sft or 1.49 Sqm</t>
  </si>
  <si>
    <t xml:space="preserve">Al. Section bottom frame No4095-1.2m@0.875 kg/m=           </t>
  </si>
  <si>
    <t xml:space="preserve">Top &amp; side frame Sec.No 4096-3.60m @0.747Kg/M= </t>
  </si>
  <si>
    <t xml:space="preserve">Inter Lock Sec.No 9778-2.40m@0.609=     </t>
  </si>
  <si>
    <t xml:space="preserve">Vertical Shutter section No 3994-2.40m@0.379Kg/M=         </t>
  </si>
  <si>
    <t xml:space="preserve">Horizental Shutter Section No 9777@2.40 Kg/M    </t>
  </si>
  <si>
    <t>window pile</t>
  </si>
  <si>
    <t>Fitter(2nd class)</t>
  </si>
  <si>
    <t>Data for 6'10'x7'6"= 51.22 sft= 4.76 sqm=24.39 sqm</t>
  </si>
  <si>
    <t>Al.  Angle section No.1855-0.6Mtr @0.518 kg/Mtr</t>
  </si>
  <si>
    <t xml:space="preserve">wastage 5 % </t>
  </si>
  <si>
    <t>3"screws</t>
  </si>
  <si>
    <t>screws (50mmx8mm)</t>
  </si>
  <si>
    <t>Carpenter First class</t>
  </si>
  <si>
    <t>fitter  (2nd class)</t>
  </si>
  <si>
    <t>helper to carpenter</t>
  </si>
  <si>
    <t>C.O.H. charge &amp; contractors profit @ 15%</t>
  </si>
  <si>
    <t>TOTAL OF A+B+C</t>
  </si>
  <si>
    <t>/24.39 kg</t>
  </si>
  <si>
    <t>Rate per kg</t>
  </si>
  <si>
    <t>/1 kg</t>
  </si>
  <si>
    <t>Finishing wall surface of walls with Acrylic wall putty (water based) for ground floor upto 3.6 mtr</t>
  </si>
  <si>
    <t>Add 3% extra labour for 1st floor @ 3% extra labour for over and above next lower floor</t>
  </si>
  <si>
    <t xml:space="preserve"> A/R  2006 ® item no:-16 , page no:-89</t>
  </si>
  <si>
    <t>Details for 1.00Sqm</t>
  </si>
  <si>
    <t>Material cost</t>
  </si>
  <si>
    <t>Cost of Tile</t>
  </si>
  <si>
    <t xml:space="preserve">Cement </t>
  </si>
  <si>
    <t>1 Qtl</t>
  </si>
  <si>
    <t xml:space="preserve"> cement for slurry &amp; grouting</t>
  </si>
  <si>
    <t>Labour cost</t>
  </si>
  <si>
    <t>Mason Special</t>
  </si>
  <si>
    <t>per day</t>
  </si>
  <si>
    <t>Semi-skilled</t>
  </si>
  <si>
    <t>Mullia</t>
  </si>
  <si>
    <t>Add Over Head charges @ 7.5%</t>
  </si>
  <si>
    <t xml:space="preserve"> Add Contractor Profit @ 7.5%</t>
  </si>
  <si>
    <t>Conveyance &amp; royalty</t>
  </si>
  <si>
    <t xml:space="preserve"> Tile</t>
  </si>
  <si>
    <t>1Qtl</t>
  </si>
  <si>
    <t>G.Total</t>
  </si>
  <si>
    <t>RATE OF LABOUR</t>
  </si>
  <si>
    <t>Category unskilled</t>
  </si>
  <si>
    <t>Female Mullia</t>
  </si>
  <si>
    <t>Survey Khalasi/ Chain man</t>
  </si>
  <si>
    <t>Category Semi skilled</t>
  </si>
  <si>
    <t>Sangi mullia</t>
  </si>
  <si>
    <t>Helper to carpenter or Blacksmith/ Painter/ Blaster/ Plumber/ Electrician / Fitter/ welder</t>
  </si>
  <si>
    <t>Pile driving mate( Guide man )</t>
  </si>
  <si>
    <t>Hammer man</t>
  </si>
  <si>
    <t>Stone packer</t>
  </si>
  <si>
    <t>Category Skilled</t>
  </si>
  <si>
    <t>Blaster( Second class )</t>
  </si>
  <si>
    <t>Painter/ Polisher</t>
  </si>
  <si>
    <t>Mason( Second class )</t>
  </si>
  <si>
    <t>Welder (2nd class )</t>
  </si>
  <si>
    <t>Black smith ( Second class )</t>
  </si>
  <si>
    <t>Plumber (2nd class )</t>
  </si>
  <si>
    <t>Carpenter( Second class )</t>
  </si>
  <si>
    <t>Driller (2nd class )</t>
  </si>
  <si>
    <t>Fitter( Second class )</t>
  </si>
  <si>
    <t>Boring Mistry/ Pipe driver</t>
  </si>
  <si>
    <t>Category Highly Skilled</t>
  </si>
  <si>
    <t>Mason (special)</t>
  </si>
  <si>
    <t xml:space="preserve">            Welder(special)</t>
  </si>
  <si>
    <t>Blaster (licensed)</t>
  </si>
  <si>
    <t>Fitter(special)</t>
  </si>
  <si>
    <t>Carpenter(special).</t>
  </si>
  <si>
    <t>Painter/ Polisher(special)</t>
  </si>
  <si>
    <t>Blacksmith(special)</t>
  </si>
  <si>
    <t>Plumber (special)</t>
  </si>
  <si>
    <t>Driller (Special)</t>
  </si>
  <si>
    <t>Boring Mistry</t>
  </si>
  <si>
    <t>HIRE CHARGES OF PLANTS &amp; MACHINERIES</t>
  </si>
  <si>
    <t>Dozer D-50-A 15</t>
  </si>
  <si>
    <t>Per Hour</t>
  </si>
  <si>
    <t>Vibrator</t>
  </si>
  <si>
    <t>(3HP diesel)</t>
  </si>
  <si>
    <t>Generator 100KVA</t>
  </si>
  <si>
    <t>Vibratory Roller 8-10 tonne</t>
  </si>
  <si>
    <t>Generator 250KVA</t>
  </si>
  <si>
    <t>Generator 33KVA</t>
  </si>
  <si>
    <t>Generator 40KVA</t>
  </si>
  <si>
    <t>Generator 125KVA</t>
  </si>
  <si>
    <t xml:space="preserve">EPM RATE OF HUME PIPE - NP-3 (RATE PER MTR) </t>
  </si>
  <si>
    <t xml:space="preserve">Materials </t>
  </si>
  <si>
    <t>Basic Cost</t>
  </si>
  <si>
    <t>VAT - 4%</t>
  </si>
  <si>
    <t>Total Cost</t>
  </si>
  <si>
    <t>Hume pipe NP-3 150 mm dia</t>
  </si>
  <si>
    <t>Hume pipe NP-3  300 mm dia</t>
  </si>
  <si>
    <t>Hume pipe NP-3  600mm dia</t>
  </si>
  <si>
    <t>Hume pipe NP-3  900mm dia</t>
  </si>
  <si>
    <t>Hume pipe NP-3 1000 mm dia</t>
  </si>
  <si>
    <t>Hume pipe NP-3 1200 mm dia</t>
  </si>
  <si>
    <t>DESCRIPTION OF ITEM</t>
  </si>
  <si>
    <t>QNTY</t>
  </si>
  <si>
    <t>RCC</t>
  </si>
  <si>
    <t>ROOF BEAM</t>
  </si>
  <si>
    <t>HEAD ROOM</t>
  </si>
  <si>
    <t>LINTEL</t>
  </si>
  <si>
    <t>BRICK WORK IN SUPERSTRUCTURE</t>
  </si>
  <si>
    <t>Parapet</t>
  </si>
  <si>
    <t>FLOORING</t>
  </si>
  <si>
    <t>6MM CEILING PLASTER (1:4)</t>
  </si>
  <si>
    <t>2.5 CM GRADING OVER SLAB</t>
  </si>
  <si>
    <t>STAINLESS STEEL RAILING</t>
  </si>
  <si>
    <t>MS GRILL</t>
  </si>
  <si>
    <t>kg.</t>
  </si>
  <si>
    <t>INTERIOR PAINTING (PLASTIC PAINT)</t>
  </si>
  <si>
    <t>OUTER PAINTING (WEATHER COAT)</t>
  </si>
  <si>
    <t>SYNTHETIC ENAMEL PAINT OVER IRON</t>
  </si>
  <si>
    <t>32mm thick granite tile dado using 20mm thick granite  tiles over 12mm thick bed CM(1:3)</t>
  </si>
  <si>
    <t xml:space="preserve"> A/R  2006 ® item no:-17 , page no:-90</t>
  </si>
  <si>
    <t>Details for 1.00 Sqm</t>
  </si>
  <si>
    <t>cement for grouting</t>
  </si>
  <si>
    <t>Add Contractor Profit @ 7.5%</t>
  </si>
  <si>
    <t>Sub Total:</t>
  </si>
  <si>
    <t>Wax polish</t>
  </si>
  <si>
    <t>Total:</t>
  </si>
  <si>
    <t>For G.Floor</t>
  </si>
  <si>
    <t>(I ) First Floor</t>
  </si>
  <si>
    <t xml:space="preserve"> Basic Rate as above</t>
  </si>
  <si>
    <t>Add 5% extra on labour</t>
  </si>
  <si>
    <t xml:space="preserve">Add for Cess-1% </t>
  </si>
  <si>
    <t>(ii) Second Floor</t>
  </si>
  <si>
    <t>1% labour cess</t>
  </si>
  <si>
    <t>Ready made Flush door</t>
  </si>
  <si>
    <t>(Other)</t>
  </si>
  <si>
    <t>32mm BWR Block Board</t>
  </si>
  <si>
    <t>1mm royal touch Sunmica both side</t>
  </si>
  <si>
    <t>Door Closer (Godrej Heavy Duty;Delta series)</t>
  </si>
  <si>
    <t>Pcs.</t>
  </si>
  <si>
    <t>Door Stopper (DS1)</t>
  </si>
  <si>
    <t>handle (Godrej)</t>
  </si>
  <si>
    <t>6 level motice lock</t>
  </si>
  <si>
    <t>Fevical / Nails etc</t>
  </si>
  <si>
    <t>/2.2 sqm</t>
  </si>
  <si>
    <t>Labour for making shutters (1.88 sqm)</t>
  </si>
  <si>
    <t>Helper</t>
  </si>
  <si>
    <t>/1.88 sqm</t>
  </si>
  <si>
    <t>Labour charges for fixing shutter (1.88 sqm)</t>
  </si>
  <si>
    <t xml:space="preserve"> Labour Cess @ 1%</t>
  </si>
  <si>
    <t>Head Room &amp; Parapet</t>
  </si>
  <si>
    <t>Materials For putty finishing</t>
  </si>
  <si>
    <r>
      <t>RCC work M 20 grade with 20mm and down grade black granite crusher broken stone chips including hoisting and laying with centring and shuttering for</t>
    </r>
    <r>
      <rPr>
        <b/>
        <sz val="10"/>
        <color indexed="10"/>
        <rFont val="Arial"/>
        <family val="2"/>
      </rPr>
      <t xml:space="preserve"> chajja.</t>
    </r>
  </si>
  <si>
    <t>40 mm thick Granite  tile flooring using 20mm thick granite  tiles over 20mm thick bed CM(1:1)</t>
  </si>
  <si>
    <t>cement for slurry &amp; grouting</t>
  </si>
  <si>
    <t>(iii) Third  Floor</t>
  </si>
  <si>
    <t xml:space="preserve">Rate per rmt.  =   </t>
  </si>
  <si>
    <t>/3.26rmt</t>
  </si>
  <si>
    <t>FLUSH DOOR</t>
  </si>
  <si>
    <t>FF</t>
  </si>
  <si>
    <t>Providing &amp; fixing in position at any location  32 mm thick  ISI marked factory made solid core block board flush  door confirming to IS:2202, Part-1 hot pressed shutter of approved make   both side commercial with well matched teak 3 ply veneering with vertical grains / cross bands and face veneers on both faces of shutter of approved make &amp; quality  bounded with phenol formal dehyde synthetic resin, leaping around complete as specified with lamination of 1 mm thick of approved shade /make    &amp; as directed  cost includes of all hardware fitting like cylindrical lock ,  door stopper, stainless steel tower bolt, stainless steel hinges,  of approved make  etc. cost includes all material,  labour, tools and plant , tax as per drawing and directed by Engineer-in-charge.</t>
  </si>
  <si>
    <t>INDEX</t>
  </si>
  <si>
    <t>DETAILS OF QUANTITY</t>
  </si>
  <si>
    <t>L</t>
  </si>
  <si>
    <t>EARTH WORK IN EXCAVATION</t>
  </si>
  <si>
    <t>C2</t>
  </si>
  <si>
    <t>COLUMN UPTO PLINTH</t>
  </si>
  <si>
    <t xml:space="preserve">STAIRCASE </t>
  </si>
  <si>
    <t xml:space="preserve">D </t>
  </si>
  <si>
    <t>W1</t>
  </si>
  <si>
    <t>CHAJJA</t>
  </si>
  <si>
    <t>BRICK WORK IN F &amp; P</t>
  </si>
  <si>
    <t>Outer Wall</t>
  </si>
  <si>
    <t>Deduction Of D/W</t>
  </si>
  <si>
    <t>PARAPET</t>
  </si>
  <si>
    <t xml:space="preserve">Deduction </t>
  </si>
  <si>
    <t>CERAMIC GLAZED WALL TILE</t>
  </si>
  <si>
    <t>Toilet</t>
  </si>
  <si>
    <t>CERAMIC TILE FLOORING</t>
  </si>
  <si>
    <t>PAVER BLOCK</t>
  </si>
  <si>
    <t>Sft.</t>
  </si>
  <si>
    <t>VENTILATOR</t>
  </si>
  <si>
    <t>5.1kg/sqm</t>
  </si>
  <si>
    <t>PVC DOOR (SHUTTER)</t>
  </si>
  <si>
    <t>PVC FRAME</t>
  </si>
  <si>
    <t>Rmt.</t>
  </si>
  <si>
    <t>Outer wall</t>
  </si>
  <si>
    <t>Below Footing</t>
  </si>
  <si>
    <t>FOOTING</t>
  </si>
  <si>
    <t>PEDESTAL</t>
  </si>
  <si>
    <r>
      <rPr>
        <b/>
        <sz val="10"/>
        <color indexed="8"/>
        <rFont val="Arial"/>
        <family val="2"/>
      </rPr>
      <t xml:space="preserve">Fly ash brick </t>
    </r>
    <r>
      <rPr>
        <sz val="10"/>
        <color indexed="8"/>
        <rFont val="Arial"/>
        <family val="2"/>
      </rPr>
      <t>masonry using Fly ash bricks of size 25cm x 12 cm x 8 cm having crushing strength not less than 75 kg. Per Sqr. Cm. In cement mortar of mix(1:6) with cement and screened and washed sharp sand for mortar after immersing the bricks for 6 (six) hours in water before use</t>
    </r>
    <r>
      <rPr>
        <b/>
        <sz val="10"/>
        <color indexed="8"/>
        <rFont val="Arial"/>
        <family val="2"/>
      </rPr>
      <t xml:space="preserve"> in foundation, plinth</t>
    </r>
    <r>
      <rPr>
        <sz val="10"/>
        <color indexed="8"/>
        <rFont val="Arial"/>
        <family val="2"/>
      </rPr>
      <t>, basement and for ornamental flower beds, plinth moulding and similar such type of works with all necessary projections, splays cutting, circular moulding, corbelling, chamfering, watering and curing etc. including cost, conveyance, loading unloading, royalties and taxes of all materials and cost of all labour, sundries, T &amp; P required for the works etc. complete in all respect as directed by the Engineer-in-Charge.</t>
    </r>
  </si>
  <si>
    <t>Column Upto plinth</t>
  </si>
  <si>
    <r>
      <rPr>
        <b/>
        <sz val="10"/>
        <rFont val="Arial"/>
        <family val="2"/>
      </rPr>
      <t>Fly ash brick</t>
    </r>
    <r>
      <rPr>
        <sz val="10"/>
        <rFont val="Arial"/>
        <family val="2"/>
      </rPr>
      <t xml:space="preserve"> masonry using Fly ash bricks of size 25 cm. x 12 cm. x 8 cm. having crushing strength not less than 75 kg. Per Sqr. Cm. in cement mortar of mix (1:6) with cement after immersing the bricks for 6 (Six) hours in water before use</t>
    </r>
    <r>
      <rPr>
        <b/>
        <sz val="10"/>
        <rFont val="Arial"/>
        <family val="2"/>
      </rPr>
      <t xml:space="preserve"> in superstructure</t>
    </r>
    <r>
      <rPr>
        <sz val="10"/>
        <rFont val="Arial"/>
        <family val="2"/>
      </rPr>
      <t xml:space="preserve"> including splays cutting, circular moulding, corbelling, chamfering and similar such type of works, watering and curing etc. including cost, coveyance, loading and unloading, royalties and taxes of all materials and cost of all labour, scaffolding, sundries, T&amp;P required for the works etc. complete in all respect as directed by the Engineer-in-charge.</t>
    </r>
  </si>
  <si>
    <r>
      <t>Providing and fixing 200 x 200 x 6 mm glazed ceramic tiles in all walls up to required height from the floor level of approved make and shade  in dado/ skirting  fixed in neat cement slurry after soaking the tiles in water over the base of 12mm thick cement plaste</t>
    </r>
    <r>
      <rPr>
        <b/>
        <sz val="9"/>
        <rFont val="Arial"/>
        <family val="2"/>
      </rPr>
      <t>r(1:3)</t>
    </r>
    <r>
      <rPr>
        <sz val="9"/>
        <rFont val="Arial"/>
        <family val="2"/>
      </rPr>
      <t xml:space="preserve"> with white cement pointing in joints including, washing and cleaning with  oxalic acid etc. complete including cost of all materials, transportation and taxes, all labour,  sundries, T&amp;P, watering and curing etc. complete as directed by Engineer -In-Charge.</t>
    </r>
  </si>
  <si>
    <t>Footing &amp; Pedestal</t>
  </si>
  <si>
    <t>Head Room</t>
  </si>
  <si>
    <t>Providing, Fitting  &amp;  Fixing  of 8 mm. to 12mm.  thick Vitrified Tile ( of size 600 m.m x  600 m.m ) or equivalent make confirming to IS specifications having minimum breaking strength 1400 kg/sq.cm   in flooring in all floors at all heights on 25mm thick bed of cement mortar(1:4) to proper slope, line and level including cutting to required size and shape, fixing at corners and splays etc. including filling the joints with   silicon sealant to match the shade of  Vitrified Tile   as per the design &amp; drawing   including cost, conveyance, loading, unloading, stacking,royalties and taxes of all materials, cost of all labour, T &amp; P, sundries, watering &amp; curing etc. required for the work complete in all respect as directed by the Engineer-in-Charge.</t>
  </si>
  <si>
    <r>
      <t xml:space="preserve">Providing vitrified tile flooring using Anti skid / vitrified tiles of premium grade having thickness of 8 to 10mm conforming to IS 13756 of 600mmX600mm colour/printed series (homogeneous) of approved quality,colour  or equivalent in </t>
    </r>
    <r>
      <rPr>
        <b/>
        <sz val="10"/>
        <rFont val="Arial"/>
        <family val="2"/>
      </rPr>
      <t>dados &amp; skirting</t>
    </r>
    <r>
      <rPr>
        <sz val="10"/>
        <rFont val="Arial"/>
        <family val="2"/>
      </rPr>
      <t xml:space="preserve"> on 12mm thick bed of cement mortar of mix (1:3) laid in proper slope and gradient with screened and washed sharp sand for mortar and grouted with required quantities of pigments of approved marks to match the shades of the vitrified tile if required watering and curing for 21 days including cost,conveyance,loading,unloading,royalties and taxes of all materials,cost of all labour,sundries,T &amp; P required for the work complete in all respect as directed by the Engineer-in-charge.</t>
    </r>
  </si>
  <si>
    <t>Providing &amp; fixing of Dressed seasoned sal wood Chowkath work framed and fixed (wrought and put up ) in  doors  includes all material,  labour, tools and plant , tax as per drawing and directed by Engineer-in-charge.</t>
  </si>
  <si>
    <t>Tile</t>
  </si>
  <si>
    <t>Per Sqm.</t>
  </si>
  <si>
    <t>/Sqm.</t>
  </si>
  <si>
    <t>/qntl.</t>
  </si>
  <si>
    <t>Cement for slurry.</t>
  </si>
  <si>
    <t>Cement for grouting.</t>
  </si>
  <si>
    <t xml:space="preserve">Mulia </t>
  </si>
  <si>
    <t xml:space="preserve">Overhead charges @ 10% </t>
  </si>
  <si>
    <t>/ 10Sqm.</t>
  </si>
  <si>
    <t xml:space="preserve">Rate per sqm  =   </t>
  </si>
  <si>
    <t>/sqm.</t>
  </si>
  <si>
    <t>Cess @ 1%</t>
  </si>
  <si>
    <t>For Basement / 1st Floor:</t>
  </si>
  <si>
    <t>Labour of next lower floor</t>
  </si>
  <si>
    <t>for upper floor</t>
  </si>
  <si>
    <t>O.H.C. @ 10%</t>
  </si>
  <si>
    <t>Add 5% extra labour over &amp; above the rates from the next lower floor</t>
  </si>
  <si>
    <t>For 2nd Floor:</t>
  </si>
  <si>
    <r>
      <t xml:space="preserve">Providing &amp; laying </t>
    </r>
    <r>
      <rPr>
        <b/>
        <sz val="10"/>
        <rFont val="Arial"/>
        <family val="2"/>
      </rPr>
      <t xml:space="preserve">kota stone flooring </t>
    </r>
    <r>
      <rPr>
        <sz val="10"/>
        <rFont val="Arial"/>
        <family val="2"/>
      </rPr>
      <t>in CM 1:1 using 20mm thick Kota stone of approved quality,</t>
    </r>
  </si>
  <si>
    <t>Cement slurry</t>
  </si>
  <si>
    <r>
      <t xml:space="preserve">Providing &amp; laying approved </t>
    </r>
    <r>
      <rPr>
        <b/>
        <sz val="10"/>
        <rFont val="Arial"/>
        <family val="2"/>
      </rPr>
      <t xml:space="preserve">kota tiles </t>
    </r>
    <r>
      <rPr>
        <sz val="10"/>
        <rFont val="Arial"/>
        <family val="2"/>
      </rPr>
      <t>in CM 1:3  suitable for exterior use in  dado</t>
    </r>
  </si>
  <si>
    <t>Fly Ash Brick (25X12X8)</t>
  </si>
  <si>
    <t>Fly Ash Brick (23X11X8)</t>
  </si>
  <si>
    <t>Fly Ash Brick masonry in CM(1:6) using bricks  strength 75kg/sqcm</t>
  </si>
  <si>
    <t>Fly Ash Bricks</t>
  </si>
  <si>
    <t>1000 nos</t>
  </si>
  <si>
    <t>T0tal</t>
  </si>
  <si>
    <t>Over Head charges @ 7.50%</t>
  </si>
  <si>
    <t>Contractor's Profit @ 7.50%</t>
  </si>
  <si>
    <t>Conveyance  &amp; royalty</t>
  </si>
  <si>
    <t>Foundation &amp; Plinth</t>
  </si>
  <si>
    <t>Add for Cess @1%</t>
  </si>
  <si>
    <t>One Cum</t>
  </si>
  <si>
    <t>Add for Super structure including Cess</t>
  </si>
  <si>
    <t>In Superstructure</t>
  </si>
  <si>
    <t>Add 15% extra on labour</t>
  </si>
  <si>
    <t>Over Head charges &amp; CP @ 15%</t>
  </si>
  <si>
    <t>Below Flooring</t>
  </si>
  <si>
    <t>Total Plaster</t>
  </si>
  <si>
    <t>12mm</t>
  </si>
  <si>
    <t xml:space="preserve">16mm </t>
  </si>
  <si>
    <t>6mm</t>
  </si>
  <si>
    <t>Outer Painting</t>
  </si>
  <si>
    <t>Glazed Wall Tile</t>
  </si>
  <si>
    <t>C3</t>
  </si>
  <si>
    <t>F1</t>
  </si>
  <si>
    <t>F2</t>
  </si>
  <si>
    <t>F3</t>
  </si>
  <si>
    <t>Corridor</t>
  </si>
  <si>
    <t>SC</t>
  </si>
  <si>
    <t>Store Room</t>
  </si>
  <si>
    <t>c)     Labour</t>
  </si>
  <si>
    <t>b)     Conveyance &amp; Royalty</t>
  </si>
  <si>
    <t>12mm crusher broken granite chips</t>
  </si>
  <si>
    <t>For Flooring work:</t>
  </si>
  <si>
    <t>For Bsement / 1st Floor:</t>
  </si>
  <si>
    <t>For 3rd Floor:</t>
  </si>
  <si>
    <r>
      <t xml:space="preserve">Providing 40mm thick </t>
    </r>
    <r>
      <rPr>
        <b/>
        <sz val="10"/>
        <rFont val="Arial"/>
        <family val="2"/>
      </rPr>
      <t xml:space="preserve">A.S. Flooring </t>
    </r>
    <r>
      <rPr>
        <sz val="10"/>
        <rFont val="Arial"/>
        <family val="2"/>
      </rPr>
      <t xml:space="preserve">in C.C. 1:2:4 (1 cement : 2 coarse sand : 4 graded stone aggregate ) </t>
    </r>
  </si>
  <si>
    <r>
      <t xml:space="preserve">Providing 40mm thick </t>
    </r>
    <r>
      <rPr>
        <b/>
        <sz val="10"/>
        <rFont val="Arial"/>
        <family val="2"/>
      </rPr>
      <t xml:space="preserve">A.S. Flooring </t>
    </r>
    <r>
      <rPr>
        <sz val="10"/>
        <rFont val="Arial"/>
        <family val="2"/>
      </rPr>
      <t>in C.C. 1:2:4 (1 cement : 2 coarse sand : 4 graded stone aggregate )  including cost,conveyance,loading,unloading,royalties and taxes of all materials,cost of all labour,sundries,T &amp; P required for the work complete in all respect as directed by the Engineer-in-charge.</t>
    </r>
  </si>
  <si>
    <t>A.S. FLOORING (GF)</t>
  </si>
  <si>
    <t>BLOCK NAME</t>
  </si>
  <si>
    <t>Hostel</t>
  </si>
  <si>
    <t>Matron/CCA/Care Taker Quarters</t>
  </si>
  <si>
    <t>For 2nos of Block</t>
  </si>
  <si>
    <t>Senior &amp; Junior non teaching staff quarters</t>
  </si>
  <si>
    <t>Support Staff Quarters</t>
  </si>
  <si>
    <t>Internal Electrification Work @ 10% of civil cost</t>
  </si>
  <si>
    <t>Internal PH Works @ 15% of civil cost</t>
  </si>
  <si>
    <t xml:space="preserve">Academic Block </t>
  </si>
  <si>
    <t>Civil Work</t>
  </si>
  <si>
    <t xml:space="preserve">b </t>
  </si>
  <si>
    <t>Store</t>
  </si>
  <si>
    <t>Wash Area</t>
  </si>
  <si>
    <t>Kitchen Area</t>
  </si>
  <si>
    <t>Kitchen Slab</t>
  </si>
  <si>
    <t>Dinning Area</t>
  </si>
  <si>
    <t>Dormitory</t>
  </si>
  <si>
    <t>Warden Room</t>
  </si>
  <si>
    <t>Lobby</t>
  </si>
  <si>
    <t>Common Room</t>
  </si>
  <si>
    <t>Portico</t>
  </si>
  <si>
    <t>ALUMINIUM SLIDING WINDOW</t>
  </si>
  <si>
    <t>Corridor Side Parapet</t>
  </si>
  <si>
    <t>Prime Cost</t>
  </si>
  <si>
    <t>SL. NO.</t>
  </si>
  <si>
    <t>TOTAL COST(Rs)</t>
  </si>
  <si>
    <t>Site Development Works</t>
  </si>
  <si>
    <t>→</t>
  </si>
  <si>
    <t>Addition for Service Tax on EPI Agency Charge 14.5%</t>
  </si>
  <si>
    <t>Addition for Sevice Tax 5.8%</t>
  </si>
  <si>
    <t>Addition for Quality Assurance 1%</t>
  </si>
  <si>
    <t>Addition for Contigency 3%</t>
  </si>
  <si>
    <t>Internal PH Works @ 10% of civil cost</t>
  </si>
  <si>
    <t>Internal roads &amp; Pathways</t>
  </si>
  <si>
    <t>Boundary Wall</t>
  </si>
  <si>
    <t>External Lighting</t>
  </si>
  <si>
    <t>AREA</t>
  </si>
  <si>
    <t>UNIT RATE</t>
  </si>
  <si>
    <t>Fire fighting work @ Rs. 500.00/Sqm</t>
  </si>
  <si>
    <t>Addition for EPI Agency Charge 7.70%</t>
  </si>
  <si>
    <t>WC</t>
  </si>
  <si>
    <t>Window Side Wall</t>
  </si>
  <si>
    <t>C4</t>
  </si>
  <si>
    <t>D1</t>
  </si>
  <si>
    <t>D2</t>
  </si>
  <si>
    <t>D3</t>
  </si>
  <si>
    <t>D4</t>
  </si>
  <si>
    <t>W2</t>
  </si>
  <si>
    <t>V1</t>
  </si>
  <si>
    <t>5" wall</t>
  </si>
  <si>
    <t>STAIRCASE</t>
  </si>
  <si>
    <t xml:space="preserve">Steps </t>
  </si>
  <si>
    <t>Kg/Sqm</t>
  </si>
  <si>
    <t xml:space="preserve">OHC &amp; CP @ 15% </t>
  </si>
  <si>
    <t>12MM  PLASTER(1:6)</t>
  </si>
  <si>
    <t>16MM  PLASTER(1:6)</t>
  </si>
  <si>
    <t>12MM PLASTER(1:6)</t>
  </si>
  <si>
    <t>Common Toilet</t>
  </si>
  <si>
    <t>Serving Area</t>
  </si>
  <si>
    <t>Window Side Brick</t>
  </si>
  <si>
    <t xml:space="preserve">Window Side Wall </t>
  </si>
  <si>
    <t>CHOUKATH</t>
  </si>
  <si>
    <t xml:space="preserve">Head Room </t>
  </si>
  <si>
    <t>1/2*0.250*0.150</t>
  </si>
  <si>
    <t>CF1</t>
  </si>
  <si>
    <t>CF2</t>
  </si>
  <si>
    <t>CF3</t>
  </si>
  <si>
    <t>Below Staircase</t>
  </si>
  <si>
    <t>ITEMS OF WORKS</t>
  </si>
  <si>
    <t>AMOUNT(in Rs.)</t>
  </si>
  <si>
    <t>PH WORKS (15%OF CIVIL COSTS)</t>
  </si>
  <si>
    <t xml:space="preserve">INTERNAL ELECTRIFICATION WORK (10% OF CIVIL COSTS) </t>
  </si>
  <si>
    <t>Over head Contigency(1%)</t>
  </si>
  <si>
    <t>Architectural fees              (2.5%)</t>
  </si>
  <si>
    <t>GRAND  TOTAL</t>
  </si>
  <si>
    <t>OR SAY,</t>
  </si>
  <si>
    <t>III</t>
  </si>
  <si>
    <t>PH WORKS</t>
  </si>
  <si>
    <t>INTERNAL SEWERAGE DISPOSAL &amp; WATER SUPPLY SYSTEM</t>
  </si>
  <si>
    <t>TOTAL PH WORK</t>
  </si>
  <si>
    <t>ELECTRICAL WORKS</t>
  </si>
  <si>
    <t>INTERNAL ELECTRIFICATION WORK</t>
  </si>
  <si>
    <t>EXTERNAL ELECTRIFICATION WORK</t>
  </si>
  <si>
    <t>GRAND TOTAL</t>
  </si>
  <si>
    <t>SAY</t>
  </si>
  <si>
    <t>ACADEMIC BLOCK</t>
  </si>
  <si>
    <t xml:space="preserve">CCA/MATRON QUARTER </t>
  </si>
  <si>
    <t>HOSTEL BLOCK (2 NOS)</t>
  </si>
  <si>
    <t>SITE DEVELOPMENT WORKS</t>
  </si>
  <si>
    <t>CONTIGENCY @ 3%</t>
  </si>
  <si>
    <t>QUALITY ASSURANCE 1%</t>
  </si>
  <si>
    <t>SERVICE TAX @ 5.8%</t>
  </si>
  <si>
    <t>EPI AGENCY CHARGES 8%</t>
  </si>
  <si>
    <t>SERVICE TAX ON EPI AGENCY CHARGES 14.5%</t>
  </si>
  <si>
    <t>EXTERNAL SEWERAGE DISPOSAL SYSTEM</t>
  </si>
  <si>
    <t>FIRE FIGHTING</t>
  </si>
  <si>
    <t>LEVELLING WORK</t>
  </si>
  <si>
    <t>IV</t>
  </si>
  <si>
    <t>BOREWELL</t>
  </si>
  <si>
    <t>INTERNAL ROAD &amp; PATHWAYS &amp; ROAD SIDE DRAINGE WORKS</t>
  </si>
  <si>
    <t>F.FL.</t>
  </si>
  <si>
    <t>1a</t>
  </si>
  <si>
    <t>Earth work in hard soil within 50m initial lead &amp; 1.5m initial lift including dressing, levelling &amp; breaking clods to maximum 5cm to 7cm &amp; laying in layers not exceeding 0.3m in depth &amp; as per specification &amp; direction of Department.</t>
  </si>
  <si>
    <t xml:space="preserve">Earth work in stoney earth &amp; gravels mixed with stone boulders not exceeding 0.014 cum in volume within 50m initial lead &amp; 1.50m lift including dressing, levelling &amp; breaking clods to maximum 5cm to 7cm &amp; laying in layers not exceeding 0.3m in depth &amp; as per specification &amp; direction of Department. </t>
  </si>
  <si>
    <t>Excavation of foundation in laterite rock or any hard rock (other than granite or disintegrated rock) removed by chiselling including dressing &amp; levelling &amp; benching the bed not exceeding 1.50m depth &amp; depositing the soil within initial lead of 50m &amp; as per specification approved by the department.</t>
  </si>
  <si>
    <t xml:space="preserve">Filling foundation trenches and Plinth with excavated &amp; selected earth, laying in layers not exceeding 23cm thick well watered &amp; rammed etc. complete including labour , T&amp;P, lead &amp; lift cost &amp; conveyance, loading, unloading etc. complete as per specification &amp; direction of EIC. </t>
  </si>
  <si>
    <t>Filling in foundation of buildings</t>
  </si>
  <si>
    <t>Filling in trenches of pipe</t>
  </si>
  <si>
    <t>2 HOSTEL BLOCKS</t>
  </si>
  <si>
    <t>CIVIL ESTIMATE FOR CONSTRUCTION OF PROPOSED EKALABYA MODEL RESIDENTIAL SCHOOL AT BIKRAMPUR FOR SC &amp; ST DEVELOPMENT DEPARTMENT, GOVT. ODISHA.</t>
  </si>
  <si>
    <t>ESTIMATE FOR CONSTRUCTION OF HOSTEL BLOCK FOR PROPOSED EKALABYA MODEL RESIDENTIAL SCHOOL AT BIKRAMPUR FOR SC &amp; ST DEVELOPMENT DEPARTMENT, GOVT. ODISHA.</t>
  </si>
  <si>
    <t>ESTIMATE FOR CONSTRUCTION OF ADMINSTRATIVE CUM ACADEMIC BLOCK FOR PROPOSED EKALABYA MODEL RESIDENTIAL SCHOOL AT BIKRAMPUR FOR SC &amp; ST DEVELOPMENT DEPARTMENT, GOVT. ODISHA.</t>
  </si>
  <si>
    <t>LEAD ANALYSIS FOR BIKRAMPUR</t>
  </si>
  <si>
    <t>QUANTITY ESTIMATE FOR CONSTRUCTION OF HOSTEL BLOCK FOR PROPOSED EKALABYA MODEL RESIDENTIAL SCHOOL AT BIKRAMPUR FOR SC &amp; ST DEVELOPMENT DEPARTMENT, GOVT. ODISHA.</t>
  </si>
  <si>
    <t>ESTIMATE FOR CONSTRUCTION OF PRINCIPALQUARTER FOR PROPOSED EKALABYA MODEL RESIDENTIAL SCHOOL AT BIKRAMPUR FOR SC &amp; ST DEVELOPMENT DEPARTMENT, GOVT. ODISHA.</t>
  </si>
  <si>
    <t>QUANTITY ESTIMATE FOR CONSTRUCTION OF PRINCIPAL QUARTER FOR PROPOSED EKALABYA MODEL RESIDENTIAL SCHOOL AT BIKRAMPUR FOR SC &amp; ST DEVELOPMENT DEPARTMENT, GOVT. ODISHA.</t>
  </si>
  <si>
    <t xml:space="preserve">Floor </t>
  </si>
  <si>
    <t>W1/V1</t>
  </si>
  <si>
    <t>Lintel Bend(5'' Wall)</t>
  </si>
  <si>
    <t>Kitchen</t>
  </si>
  <si>
    <t xml:space="preserve">A.S. FLOORING </t>
  </si>
  <si>
    <t>Bed Room</t>
  </si>
  <si>
    <t xml:space="preserve">Drawing &amp; Dinning </t>
  </si>
  <si>
    <t>Bed room</t>
  </si>
  <si>
    <t>Toilet Front</t>
  </si>
  <si>
    <t>External Wall</t>
  </si>
  <si>
    <t>Toilet (Front)</t>
  </si>
  <si>
    <t>Verandha</t>
  </si>
  <si>
    <t>16mm</t>
  </si>
  <si>
    <t>Same as external wall plaster</t>
  </si>
  <si>
    <t>ESTIMATE FOR CONSTRUCTION OF STAAF QUARTER FOR PROPOSED EKALABYA MODEL RESIDENTIAL SCHOOL AT BIKRAMPUR FOR SC &amp; ST DEVELOPMENT DEPARTMENT, GOVT. ODISHA.</t>
  </si>
  <si>
    <t>Excavation in ordinary soil for foundation including dressing and levelling the bed and depositing the soil within 50m. initial lead and 1.5m.initial lift including rough dressing and breaking clods to maximum 5cm. to 7cm. and laying in layer.</t>
  </si>
  <si>
    <t>GF+FF</t>
  </si>
  <si>
    <t>QUANTITY ESTIMATE FOR CONSTRUCTION OF STAFF QUARTERS FOR PROPOSED EKALABYA MODEL RESIDENTIAL SCHOOL AT BIKRAMPUR FOR SC &amp; ST DEVELOPMENT DEPARTMENT, GOVT. ODISHA.</t>
  </si>
  <si>
    <t>Full brick wall</t>
  </si>
  <si>
    <t>Half Brick Wall</t>
  </si>
  <si>
    <t>Wc</t>
  </si>
  <si>
    <t>Drawing</t>
  </si>
  <si>
    <t xml:space="preserve">Landing </t>
  </si>
  <si>
    <t>Balcony</t>
  </si>
  <si>
    <t>Drawing Room</t>
  </si>
  <si>
    <t xml:space="preserve">Wc Front </t>
  </si>
  <si>
    <t xml:space="preserve">Kitchen Front </t>
  </si>
  <si>
    <t xml:space="preserve">Staicase </t>
  </si>
  <si>
    <t>w1</t>
  </si>
  <si>
    <t>w2</t>
  </si>
  <si>
    <t>w3</t>
  </si>
  <si>
    <t>d1</t>
  </si>
  <si>
    <t>d2</t>
  </si>
  <si>
    <t>Bedroom</t>
  </si>
  <si>
    <t xml:space="preserve">Wc </t>
  </si>
  <si>
    <t xml:space="preserve">Bed room </t>
  </si>
  <si>
    <t>Same as external plaster</t>
  </si>
  <si>
    <t>Parapet/Head room</t>
  </si>
  <si>
    <t>(Head Room)</t>
  </si>
  <si>
    <t>Painting two coats of plastic emulsion paint with primer on interior wall surface and applying sand paper to smooth the surface of reputed make including cost of all material labour scafolding T&amp;P etc all complete as directed by engg. on Charge.</t>
  </si>
  <si>
    <t xml:space="preserve">Iron work wrought and put up in grated doors, windows and cage latrines etc complete.       </t>
  </si>
  <si>
    <t>For 1.00 qnt.</t>
  </si>
  <si>
    <t>Data for 0.508 qnt.</t>
  </si>
  <si>
    <t>Black smith (Special)</t>
  </si>
  <si>
    <t>Black smith (2nd class)</t>
  </si>
  <si>
    <t>Fitter (special.)</t>
  </si>
  <si>
    <t>Fitter (2nd class.)</t>
  </si>
  <si>
    <t>Helper to Blacksmith</t>
  </si>
  <si>
    <t>Rate per qntl.</t>
  </si>
  <si>
    <t>Rate per Kg.</t>
  </si>
  <si>
    <t xml:space="preserve">Cost of materials </t>
  </si>
  <si>
    <t>Carriage of steel</t>
  </si>
  <si>
    <t>Add for staging charges</t>
  </si>
  <si>
    <r>
      <t xml:space="preserve">Supplying, fitting and fixing of </t>
    </r>
    <r>
      <rPr>
        <b/>
        <sz val="11"/>
        <color indexed="8"/>
        <rFont val="Calibri"/>
        <family val="2"/>
      </rPr>
      <t xml:space="preserve">M.S </t>
    </r>
    <r>
      <rPr>
        <sz val="10"/>
        <rFont val="Arial"/>
        <family val="2"/>
      </rPr>
      <t>steel windows in proper position in all floors and at all height including making holes to brick walls/ R.C.C structure/wood work etc. and making good to the damaged  walls/ structures with cement concrete (1:2:4)  with black hard crusher broken granite stone chips of 12mm to 20mm size ( 20mm size not to exceeds 25% ) including watering and curing etc. complete in all respect as directed by the Engineer in charge ( W.I. / M.S. windows grills, grill gates, collapsible gates with top and bottom rails, steel windows, steel doors, steel frames for doors and windows, staircase  and parapet railings  square bar along with required nos. of nails and screws and other required materials of approved quality and approved size shall be supplied by the contractor at his own cost.)</t>
    </r>
  </si>
  <si>
    <t>Providing &amp; fixing in position at any location  32 mm thick  ISI marked factory made solid core block board flush  door confirming to IS:2202, Part-1 hot pressed shutter of approved make   both side commercial with single lamination of sun mika of approved shade /make    &amp; as directed  cost includes of all hardware fitting like cylindrical lock ,  door stopper, stainless steel tower bolt, stainless steel hinges,  of approved make  etc. cost includes all material,  labour, tools and plant , tax as per drawing and directed by Engineer-in-charge.</t>
  </si>
  <si>
    <t>Earth Work in excavation by mechanical means (Hydraulic excavator)/manual means in foundation trenches or drains(not exceeding 1.5m in width or 10 sqm on plan) including dressing of sides and ramming of bottoms, lift up to 1.5m, including getting out the excavated soil and disposal of surplus excavated soil as directed, within a lead of 50m.</t>
  </si>
  <si>
    <t>O.S.R/D.S.R SOR NO</t>
  </si>
  <si>
    <t>DESCRIPTION OF ITEMS</t>
  </si>
  <si>
    <t>A/R 2006-Page No-2)</t>
  </si>
  <si>
    <t>All Kind of Soil</t>
  </si>
  <si>
    <t>A/R 2006-Page No-3)</t>
  </si>
  <si>
    <t>Supplying and filling in plinth with sand under floors including, watering, ramming consolidating and dressing complete.</t>
  </si>
  <si>
    <t>A/R 2006-Page No-8  item-15</t>
  </si>
  <si>
    <t>Providing and laying in position cement concrete of specified grade excluding the cost of centering and shuttering-All work up to plinth level</t>
  </si>
  <si>
    <t>A/R 2006-Page No-43  item-3</t>
  </si>
  <si>
    <t>Filling available excavated earth(excluding rock) in trenches, plinth, sides of foundation etc.in layers not exceeding 20cm in depth , consolidating layer by ramming and watering, lead up to 50m and lift up to 1.5m.</t>
  </si>
  <si>
    <t>Reinforcement for R.C.C. work including straightening, cutting , bending, placing in position and binding all complete up to plinth level</t>
  </si>
  <si>
    <t>Kilogram</t>
  </si>
  <si>
    <t>Centering and shuttering including strutting, propping etc. and removal of form work for.</t>
  </si>
  <si>
    <t>Foundations, footings, bases for columns.</t>
  </si>
  <si>
    <t>Making plinth protection 50mm thick of cement concrete 1:3:6 (1 cement:3 coarse sand: 6 graded  stone aggregate 20mm nominal size)over 75mm bed by dry brick ballast 40mm nominal size well rammed and consolidated and grouted with fine sand including finishing the top smooth</t>
  </si>
  <si>
    <t>Providing and laying damp-proof course 40mm thick with cement concrete 1:2:4(1 cement:2 coarse sand : 4 graded stone aggregate 12.5mm nominal size)</t>
  </si>
  <si>
    <t>Suspended floors, roofs, landings, balconies and access platform.</t>
  </si>
  <si>
    <t>Lintels, beams, plinth beams, girders, bressumers and cantilevers.</t>
  </si>
  <si>
    <t>Columns, Pillars, Piers, Abutments, Posts and Struts.</t>
  </si>
  <si>
    <t>Stairs (excluding landings) except spiral-staircases.</t>
  </si>
  <si>
    <t>Providing wood work in frames of doors, windows ,clerestory windows and other frames, wrought framed and fixed in position: Sal wood</t>
  </si>
  <si>
    <t>Providing and fixing aluminum sliding door bolts ISI marked anodized (anodic coating not less than grade AC 10 as per IS:1868) transparent or dyed to required color or shade with nuts and screws etc. complete: 250 X 16mm)</t>
  </si>
  <si>
    <t xml:space="preserve">300 x 16mm </t>
  </si>
  <si>
    <t>STEEL WORK</t>
  </si>
  <si>
    <t>Providing and fixing circular/hexagonal M.S. sheet ceiling fan box with clamp of internal dia 140mm, 73mm height, 3mm thick rim, top and bottom lid of 1.5mm M.S.sheet. Lids shall be screwed into M.S box by means of 3 mm round headed screws, clamps shall be made of 12mm dia M.S. bar bent to shape as per standard drawing.</t>
  </si>
  <si>
    <t>62mm thick cement concrete flooring with concrete hardener topping under layer 50mm thick cement concrete 1:2:4 (1 cement: 2 coarse sand : 4 graded stone aggregate 20mm nominal size ) and top layer 12mm thick cement hardener consisting of mix 1: 2(1 cement hardener mix : 2 graded stone aggregate 6mm nominal size) by volume. Hardening compound is mixed @ 2 litres per 50kg of cement or as per manufactures specifications. This includes cost of cement slurry, but excluding the cost of noising of steps etc. complete.</t>
  </si>
  <si>
    <t>Diluting and injecting chemical emulsion for POST-CONSTRUCTIONAL anti-termite treatment (excluding the cost of chemical emulsion) :</t>
  </si>
  <si>
    <t>With Chlorpyriphos/ Lindane E.C. 20% with 1% concentration</t>
  </si>
  <si>
    <t>Thermo-Mechanically Treated bars of grade Fe-500D or more.</t>
  </si>
  <si>
    <t>Cement plaster skirting (up to 30cm height) with cement mortar 1:3(1 cement: 3 coarse sand) finished with a floating coat of neat cement.</t>
  </si>
  <si>
    <t>18 MM thick</t>
  </si>
  <si>
    <t>Providing and fixing Ist quality ceramic glazed tiles conforming to IS: 15622(thickness to be specified by the manufacture) of approved make in all colors, shades except burgundy, bottle green, black of any size as approved by Engineer-in-charge in skirting, risers of steps and dados over 12 mm thick bed of cement mortar 1:3 and jointing with grey cement slurry @ 3.3kg per sqm including pointing in white cement mixed with pigment of matching shade complete.</t>
  </si>
  <si>
    <r>
      <t xml:space="preserve">Providing and laying Ceramic glazed floor tiles 300 X300 mm (thickness to be specified by the manufacturer) of 1 </t>
    </r>
    <r>
      <rPr>
        <sz val="10"/>
        <rFont val="Arial"/>
        <family val="2"/>
      </rPr>
      <t>quality conforming to IS : 15622 of make in all colors such as white,ivory,Grey,fume Red Brown laid on 20mm thick bed of cement Mortar 1:4(1 cement : 4 Coarse sand) including pointing the joints with white cement and matching pigments etc.</t>
    </r>
  </si>
  <si>
    <t xml:space="preserve">Providing and fixing on wall face unplasticised- Rigid PVC molded fittings/accessories for unplaticised-Rigid PVC rain water pipes conforming to IS:13592 Type A including jointing with seal ring conforming to IS:5382 leaving 10 mm gap for thermal expansion. </t>
  </si>
  <si>
    <t>110mm Shoe</t>
  </si>
  <si>
    <t>Providing and fixing to the inlet mouth of rain water pipe cast iron grating 15cm diameter and weighing not less than 440 grams.</t>
  </si>
  <si>
    <t>Grading roof with cement concrete 1:2:4 (1 cement: 2coarse sand: 4graded stone aggregate 20mm nominal size.)</t>
  </si>
  <si>
    <t>Granite stone slabs 25mm thick for sitting platform, skirting , dado and pillars laid on 12mm (average) thick cement mortar 1:3 ( 1 cement : 3 coarse sand) and joined with grey cement slurry mixed  with pigment to match the shade of the slabs, including rubbing and polishing complete.</t>
  </si>
  <si>
    <t>FINISHING</t>
  </si>
  <si>
    <t>Providing and applying water resistant wall putty of brand BIRLA White or equivalent approved make of 2.0mm thickness (average) over plastered surface on wall and ceiling to prepare the surface even and smooth complete as per the direction of Engineer-in –charge.</t>
  </si>
  <si>
    <t>ALUMINIUM WORK</t>
  </si>
  <si>
    <t>Providing and fixing white vitreous china pedestal type water closet (European type W.C.pan) with seat and lid , 10litre low level white P.V.C. flushing cistern with manually controlled device(handle lever), conforming to IS: 7231 , with all fittings and fixtures complete including cutting and making good the walls and floors wherever required.</t>
  </si>
  <si>
    <t>W.C pan with ISI marked white solid plastic seat and lid</t>
  </si>
  <si>
    <t>Providing and fixing 600x450mm  bevelles edge mirror of superior glass (of approved quality) complete with 6mm thick hard board ground fixed to wooden cleats with C.P. brass screws and washers complete.</t>
  </si>
  <si>
    <t>WATER SUPPLY</t>
  </si>
  <si>
    <t>20 mm nominal bore</t>
  </si>
  <si>
    <t>Providing and fixing ACP shutters (4mm thick)</t>
  </si>
  <si>
    <t>Ordinary Rock</t>
  </si>
  <si>
    <t>EARTH WORK</t>
  </si>
  <si>
    <t>1.1.1</t>
  </si>
  <si>
    <t>1.2.1</t>
  </si>
  <si>
    <t>Extra for every additional lift of 1.5 m or part thereof in excavation / banking excavated or stacked materials.</t>
  </si>
  <si>
    <t>Ordinary or hard rock</t>
  </si>
  <si>
    <t>Sub-Total</t>
  </si>
  <si>
    <t>CONCRETE WORK</t>
  </si>
  <si>
    <t>Providing and laying cement concrete in retaining walls, return walls, walls (any thickness) including attached pilasters,columns, piers, abutments, pillars, posts,struts, buttresses, string or lacing courses,parapets, coping, bed blocks, anchor blocks,plain window sills, fillets, sunken floor etc.,up to floor five level, excluding the cost of centering, shuttering and finishing :</t>
  </si>
  <si>
    <t>1:1½:3 (1 cement : 1½ coarse sand (zone-III) : 3 graded stone aggregate 20 mm nominal size).</t>
  </si>
  <si>
    <t>REINFORCED CEMENT CONCRETE</t>
  </si>
  <si>
    <t>Reinforced cement concrete work in vertical and horizontal fins individually or forming box louvers, facias and eaves boards above plinth level up to floor five level, excluding the cost of centering, shuttering, finishing and reinforcement with 1:1½:3 (1 cement :1½ coarse sand (zone-III) : 3 graded stone aggregate 20mm nominal size).</t>
  </si>
  <si>
    <t>5.9.1</t>
  </si>
  <si>
    <t>3.2.1</t>
  </si>
  <si>
    <t>3.2.2</t>
  </si>
  <si>
    <t>Walls (any thickness) including attached pilasters, buttresses, plinth and string courses fillets,kerbs and steps etc.</t>
  </si>
  <si>
    <t>5.9.2</t>
  </si>
  <si>
    <t>3.2.3</t>
  </si>
  <si>
    <t>5.9.3</t>
  </si>
  <si>
    <t>3.2.4</t>
  </si>
  <si>
    <t>3.2.5</t>
  </si>
  <si>
    <t>3.2.6</t>
  </si>
  <si>
    <t>Vertical and horizontal fins individually or forming box louvers band, facias and eaves boards</t>
  </si>
  <si>
    <t>3.2.7</t>
  </si>
  <si>
    <t>Weather shade, Chajjas, corbels etc., including edges</t>
  </si>
  <si>
    <t>3.2.8</t>
  </si>
  <si>
    <t>3.4.1</t>
  </si>
  <si>
    <t>Reinforcement for R.C.C. work including straightening, cutting , bending, placing in position and binding all complete above plinth level</t>
  </si>
  <si>
    <t>3.5.1</t>
  </si>
  <si>
    <t>Providing and laying in position ready mixed M-25 grade concrete for reinforced cement concrete work, using cement content as per approved design mix,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,excluding the cost of centering, shuttering finishing and reinforcement, including cost of admixtures in recommended proportions as per IS : 9103 to accelerate/ retard setting of concrete, improve workability without impairing strength and durability as per direction of the Engineer-in-charge. (Note :- Cement content considered in this item is @ 330 kg/cum. Excess/less cement used as per design mix is payable/recoverable separately)</t>
  </si>
  <si>
    <t>All works upto plinth level</t>
  </si>
  <si>
    <t>All works above plinth level upto floor V level</t>
  </si>
  <si>
    <t>BRICKWORK</t>
  </si>
  <si>
    <t>3.7.1</t>
  </si>
  <si>
    <t>3.7.2</t>
  </si>
  <si>
    <t>WOOD AND P.V.C. WORK</t>
  </si>
  <si>
    <r>
      <t>Providing and fixing ISI marked flush door shutters conforming to IS:2002(Part-1)’ non decorative type, core of Block board construction with frame of 1</t>
    </r>
    <r>
      <rPr>
        <vertAlign val="superscript"/>
        <sz val="9"/>
        <rFont val="Calibri"/>
        <family val="2"/>
      </rPr>
      <t>st</t>
    </r>
    <r>
      <rPr>
        <sz val="9"/>
        <rFont val="Calibri"/>
        <family val="2"/>
      </rPr>
      <t xml:space="preserve"> </t>
    </r>
    <r>
      <rPr>
        <sz val="10"/>
        <rFont val="Arial"/>
        <family val="2"/>
      </rPr>
      <t>class hard wood and well matched commercial 3 ply veneering with vertical grains or cross bands and face veneers on both faces of shutter.</t>
    </r>
  </si>
  <si>
    <t>35 mm thick including ISI marked Stainless Steel butt hinges with necessary screws</t>
  </si>
  <si>
    <t>5.1.1</t>
  </si>
  <si>
    <t>Sal wood</t>
  </si>
  <si>
    <t>25 mm thick (for cupboard) including ISI marked nickel plated bright finished M.S. Piano hinges IS : 3818 marked with necessary screws</t>
  </si>
  <si>
    <t>Extra for providing vision panel not exceeding 0.1 sqm in all type of flush doors (cost of glass excluded) (overall area of door shutter to be measured):</t>
  </si>
  <si>
    <t>5.2.1</t>
  </si>
  <si>
    <t>5.2.2</t>
  </si>
  <si>
    <t>Rectangular or square</t>
  </si>
  <si>
    <t>Providing and fixing nickel plated M.S. pipe curtain rods with nickel plated brackets :</t>
  </si>
  <si>
    <t>20 mm dia (heavy type)</t>
  </si>
  <si>
    <t>Providing and fixing M.S. grills of required pattern in frames of windows etc. with M.S. flats, square or round bars etc. including priming coat with approved steel primer all complete.</t>
  </si>
  <si>
    <t>Fixed to steel windows by welding</t>
  </si>
  <si>
    <t>5.5.1</t>
  </si>
  <si>
    <t>250 x 16 mm</t>
  </si>
  <si>
    <t>5.6.1</t>
  </si>
  <si>
    <t xml:space="preserve">300 x 10mm </t>
  </si>
  <si>
    <t>Providing and fixing aluminum tower bolts ISI marked anodized(anodic coating not less than grade AC 10 as per IS:1868) transparent or dyed to required color or shade with necessary  screws etc. complete</t>
  </si>
  <si>
    <t>250x 10mm</t>
  </si>
  <si>
    <t>5.7.1</t>
  </si>
  <si>
    <t>Providing and fixing aluminum handles  ISI marked anodized(anodic coating not less than grade AC 10 as per IS:1868) transparent or dyed to required color or shade with necessary  screws etc. complete</t>
  </si>
  <si>
    <t>125 mm</t>
  </si>
  <si>
    <t>5.8.1</t>
  </si>
  <si>
    <t xml:space="preserve">Providing and fixing aluminum hanging floor door stopper ISI marked anodized (anodic coating not less than grade AC 10 as per IS: 1868) transparent or dyed to required color or shade with necessary screws etc. complete. </t>
  </si>
  <si>
    <t>Twin rubber stopper</t>
  </si>
  <si>
    <t>5.8.2</t>
  </si>
  <si>
    <t>5.10.</t>
  </si>
  <si>
    <t>5.10.1</t>
  </si>
  <si>
    <t>Providing and fixing ISI:12817 marked stainless steel but hinges (heavy weight) with stain les steel screws etc. complete</t>
  </si>
  <si>
    <t>125 x 64 x 2.50mm</t>
  </si>
  <si>
    <t>5.11.1</t>
  </si>
  <si>
    <t>150 x 10mm</t>
  </si>
  <si>
    <t>Providing and fixing in position collapsible steel shutters with vertical channels 20x10x2 mm and braced with flat iron diagonals 20x5 mm size, with top and bottom rail of T-iron 40x40x6 mm, with 40 mm dia steel pulleys, complete with bolts, nuts, locking arrangement, stoppers handles, including applying a priming coat of approved steel primer.</t>
  </si>
  <si>
    <t>Providing and fixing M.S. fan clamp type I or II of 16 mm dia M.S. bar, bent to shape with hooked ends in R.C.C. slabs or beams during laying, including painting the exposed portion of loop, all as per standard design complete.</t>
  </si>
  <si>
    <t>Steel work welded in built up sections/framed work, including cutting, hoisting,fixing in position and applying a priming coat of approved steel primer using structural steel etc. as required.</t>
  </si>
  <si>
    <t>6.4.1</t>
  </si>
  <si>
    <t>In gratings, frames, guard bar, ladder railings, brackets, gates and similar works</t>
  </si>
  <si>
    <t>Providing and fixing stainless steel ( Grad 304) railing made of Hollow tubes,channels, plates etc., including welding,grinding,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 charge, (for payment purpose only weight of stainless steel members shall be considered excluding fixing accessories such as nuts, bolts, fasteners etc.).</t>
  </si>
  <si>
    <t>Providing and laying vitrified floor tiles in different sizes (thickness to be specified by the manufacturer) with water absorption less than 0.08% and confirming to IS: 15622 of approved make in all colors and shades, laid on 20mm thick bed of Cement Mortar 1:4 (1 Cement: 4 Coarse sand) including pointing the joints with white cement and matching pigments etc complete.</t>
  </si>
  <si>
    <t>Size of Tile 600x600 mm</t>
  </si>
  <si>
    <t>7.2.1</t>
  </si>
  <si>
    <t>11.13.1</t>
  </si>
  <si>
    <t>7.6.1</t>
  </si>
  <si>
    <t>ROOFING</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</si>
  <si>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</si>
  <si>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 xml:space="preserve">Providing and fixing on wall face unplasticised- Rigid PVC rain water pipes conforming to IS:13592 Type A including jointing with seal ring conforming to IS :5382 leaving 10 mm gap for thermal expansion.(i) single socketed pipes </t>
  </si>
  <si>
    <t xml:space="preserve"> 110mm Bend</t>
  </si>
  <si>
    <r>
      <t>Bend 87.5</t>
    </r>
    <r>
      <rPr>
        <vertAlign val="superscript"/>
        <sz val="9"/>
        <rFont val="Calibri"/>
        <family val="2"/>
      </rPr>
      <t xml:space="preserve">0 </t>
    </r>
  </si>
  <si>
    <t>Shoe (Plain)</t>
  </si>
  <si>
    <t xml:space="preserve">Providing and fixing on wall face unplasticised- PVC pipe clips of approved design to  unplasticised –PVC rain water pipes by means of 50 x 50 x 50 mm hard wood plugs, screwed with M.S.screws of required length including cutting brick work and fixing in cement mortar 1:4 : </t>
  </si>
  <si>
    <t>110mm.</t>
  </si>
  <si>
    <t>8.4.1</t>
  </si>
  <si>
    <t>Providing and fixing precoated galvanised iron profile sheets (size, shape and pitch of corrugation as approved by Engineer-in charge)
0.50 mm (+ 0.05 %) total coated thickness with zinc coating 120 grams per sqm as per IS: 277, in 240 mpa steel grade,5-7 microns epoxy primer on both side of the sheet and polyester top coat 15-18 microns. Sheet should have protective guard film of 25 microns minimum to avoid scratches during transportation and should be supplied in single length upto 12 metre or as desired by Engineer- in-charge. The sheet shall be fixed using self drilling /self tapping screws of size (5.5x 55 mm) with EPDM seal, complete upto any pitch in horizontal/vertical or curved surfaces, excluding the cost of purlins, rafters and trusses and including cutting to size and shape wherever required.</t>
  </si>
  <si>
    <t>12mm cement plaster of mix</t>
  </si>
  <si>
    <t>1:6 (1 cement : 6 coarse sand)</t>
  </si>
  <si>
    <t>9.1.1</t>
  </si>
  <si>
    <t>1:6(1 cement : 6 coarse sand)</t>
  </si>
  <si>
    <t>9.2.1</t>
  </si>
  <si>
    <t xml:space="preserve">15mm cement plaster on rough side of single or half brick wall of mix </t>
  </si>
  <si>
    <t>6mm cement plaster to celling of mix :</t>
  </si>
  <si>
    <t xml:space="preserve"> 1:3 (1 cement : 3 fine sand)</t>
  </si>
  <si>
    <t>9.3.1</t>
  </si>
  <si>
    <t xml:space="preserve">Applying Priming Coat </t>
  </si>
  <si>
    <t>With ready mixed pink or grey primer of approved brand and manufacture on wood work (hard and soft wood)</t>
  </si>
  <si>
    <t>9.4.1</t>
  </si>
  <si>
    <t>Wall painting with acrylic emulsion paint of approved brand and manufacture to give an even shade :</t>
  </si>
  <si>
    <t>Two or more coats on new work</t>
  </si>
  <si>
    <t>9.5.1</t>
  </si>
  <si>
    <t>Two coats</t>
  </si>
  <si>
    <t>9.6.1</t>
  </si>
  <si>
    <t>DISMANTLING &amp; DEMOLISHING</t>
  </si>
  <si>
    <t>Demolishing brick work manually/ by mechanical means including stacking of  serviceable material and disposal of unserviceable material within 50 metres lead as per direction of Engineer-in-charge</t>
  </si>
  <si>
    <t>In cement mortar</t>
  </si>
  <si>
    <t>10.1.1</t>
  </si>
  <si>
    <t>Demolishing cement concrete manually/ by mechanical means including disposal of material within 50 metres lead as per direction of Engineer - in - charge.</t>
  </si>
  <si>
    <t>Nominal concrete 1:3:6 or richer mix (i/c equivalent design mix)</t>
  </si>
  <si>
    <t>Demolishing R.C.C. work manually/ by mechanical means including stacking of steel bars and disposal of unserviceable material within 50 metres lead as per direction of Engineer - in- charge.</t>
  </si>
  <si>
    <t>10.3.1</t>
  </si>
  <si>
    <t>Dismantling doors, windows and clerestory windows (steel or wood) shutter including chowkhats, architrave, holdfasts etc. complete and stacking within 50 metres lead :</t>
  </si>
  <si>
    <t>Of area 3 sq. metres and below</t>
  </si>
  <si>
    <t>10.5.1</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</si>
  <si>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</si>
  <si>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</si>
  <si>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11.1.1</t>
  </si>
  <si>
    <t>White Vitreous china Orissa pattern W.C. pan of size 580x440 mm with integral type foot rests</t>
  </si>
  <si>
    <t>11.2.1</t>
  </si>
  <si>
    <t>Providing and fixing wash basin with C.I/M.S. brackets 15mm C.P. brass pillars taps,32mm C.P. brass waste of standard pattern , including painting of fittings and brackets , cutting and making good the walls wherever required</t>
  </si>
  <si>
    <t xml:space="preserve"> White virtious china wash basin size 550x400mm with single 15mm C.P. brass pillar trap.</t>
  </si>
  <si>
    <t>11.3.1</t>
  </si>
  <si>
    <t xml:space="preserve">Providing and fixing P.V.C waste pipe for sink or wash basin including P.V.C waste fittings complete. </t>
  </si>
  <si>
    <t>Flexible pipe</t>
  </si>
  <si>
    <t xml:space="preserve"> 40mm dia.</t>
  </si>
  <si>
    <t>11.4.1</t>
  </si>
  <si>
    <t>11.4.1.1</t>
  </si>
  <si>
    <t xml:space="preserve">Providing and fixing soil, waste and vent pipesa : </t>
  </si>
  <si>
    <t>100mm dia</t>
  </si>
  <si>
    <t>Providing and filling the joints with spun yarn, cement slurry and cement mortar 1:2 (1 cement : 2 fine sand) in S.C.I./ C.I. Pipes :</t>
  </si>
  <si>
    <t>100mm dia pi\pe</t>
  </si>
  <si>
    <t>11.7.1</t>
  </si>
  <si>
    <t>Providing and fixing holder-bat clamps of approved design to pipe ambedded in and including cement concrete blocks 10x10x10 cm of 1: 2: 4 mix(1 cement:2 coarse sand: 4 graded stone agrregrate 20mm nominal size) including cost of cutting holes and making good the walls etc.</t>
  </si>
  <si>
    <t xml:space="preserve"> For 100 mm dia. Pipe</t>
  </si>
  <si>
    <t>11.8.1</t>
  </si>
  <si>
    <t>Providing and fixing bend of required degree with access door, insertion rubber washer 3 mm thick, bolts and nuts complete</t>
  </si>
  <si>
    <t>100 mm dia</t>
  </si>
  <si>
    <t>11.9.1</t>
  </si>
  <si>
    <t>11.10.</t>
  </si>
  <si>
    <t xml:space="preserve">Providing and fixing trap of self cleansing design with screwed down or hinged grating with or without vent arm complete, including cost of cutting and making good the walls and floors: </t>
  </si>
  <si>
    <t>100mm inlet and 100mm outlet.</t>
  </si>
  <si>
    <t>Sand cast iron S&amp;S as per IS: 3989</t>
  </si>
  <si>
    <t>11.10.1</t>
  </si>
  <si>
    <t xml:space="preserve">Providing and fixing single equal plain junction of required degree with access door, insertion rubber washes 3mm thick, bolts and nuts complete </t>
  </si>
  <si>
    <t>100x100x100mm</t>
  </si>
  <si>
    <t>Sand cast iron S&amp;S as per IS - 3989</t>
  </si>
  <si>
    <t>11.11.1</t>
  </si>
  <si>
    <t>11.11.1.1</t>
  </si>
  <si>
    <t>Providing and fixing terminal guard :</t>
  </si>
  <si>
    <t xml:space="preserve"> 100mm dia</t>
  </si>
  <si>
    <t>11.12.1</t>
  </si>
  <si>
    <t>11.12.1.1</t>
  </si>
  <si>
    <t xml:space="preserve">Providing and fixing collar: </t>
  </si>
  <si>
    <t>11.13.1.1</t>
  </si>
  <si>
    <t>Providing and fixing 100 mm sand cast Iron grating for gully trap.</t>
  </si>
  <si>
    <t>11.14.1</t>
  </si>
  <si>
    <t>11.14.1.1</t>
  </si>
  <si>
    <t>Providing and fixing PTMT towel rail complete with brackets fixed to wooden cleats with CP brass screws with concealed fittings arrangement of approved quality and colour.</t>
  </si>
  <si>
    <t>600 mm long towel rail with total length of 645 mm, width 78 mm and effective height of 88 mm, weighing not less than 190 gms.</t>
  </si>
  <si>
    <t>11.15.1</t>
  </si>
  <si>
    <t>15 mm nominal outer dia Pipes</t>
  </si>
  <si>
    <t>25 mm nominal outer dia Pipes</t>
  </si>
  <si>
    <t>32 mm nominal outer dia Pipes</t>
  </si>
  <si>
    <t>40 mm nominal outer dia Pipes</t>
  </si>
  <si>
    <t>20 mm nominal outer dia Pipes</t>
  </si>
  <si>
    <t>Providing and fixing Chlorinated Polyvinyl Chloride (CPVC) pipes, having thermal stability for hot &amp; cold water supply,including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</si>
  <si>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12.1.1</t>
  </si>
  <si>
    <t>12.1.2</t>
  </si>
  <si>
    <t>12.1.3</t>
  </si>
  <si>
    <t>12.1.4</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</si>
  <si>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t>
  </si>
  <si>
    <t>12.2.1</t>
  </si>
  <si>
    <t>12.2.2</t>
  </si>
  <si>
    <t>Providing and fixing gun metal gate valve with C.I. wheel of approved quality (screwed end) :</t>
  </si>
  <si>
    <t>25 mm nominal bore</t>
  </si>
  <si>
    <t>32 mm nominal bore.</t>
  </si>
  <si>
    <t>40 mm nominal bore</t>
  </si>
  <si>
    <t>12.3.1</t>
  </si>
  <si>
    <t>12.3.2</t>
  </si>
  <si>
    <t>12.3.3</t>
  </si>
  <si>
    <t>Providing and fixing uplasticised PVC connection pipe with brass unions :</t>
  </si>
  <si>
    <t>45 cm length</t>
  </si>
  <si>
    <t>12.4.1</t>
  </si>
  <si>
    <t>12.4.1.1</t>
  </si>
  <si>
    <t>15 mm nominal bore</t>
  </si>
  <si>
    <t>12.4.1.2</t>
  </si>
  <si>
    <t>Providing and fixing C.P. brass shower rose brass shower rose
with 15 or 20 mm inlet :</t>
  </si>
  <si>
    <t>150 mm diameter</t>
  </si>
  <si>
    <t>12.5.1</t>
  </si>
  <si>
    <t>Providing and placing on terrace (at all floor levels) polyethylene water storage tank, IS :12701 marked, with cover and suitable locking arrangement and making necessary holes for inlet, outlet and overflow pipes but without fittings and the base support for tank.</t>
  </si>
  <si>
    <t>Rectangular tank</t>
  </si>
  <si>
    <t>12.6.1</t>
  </si>
  <si>
    <t>Providing and fixing C.P. brass bib cock of approved quality conforming to IS:8931 :</t>
  </si>
  <si>
    <t>12.7.1</t>
  </si>
  <si>
    <t>Providing and fixing C.P. brass angle valve for basin mixer and geyser points of approved quality conforming to IS:8931</t>
  </si>
  <si>
    <t>15mm nominal bore</t>
  </si>
  <si>
    <t>12.8.1</t>
  </si>
  <si>
    <t>Providing and fixing PTMT soap Dish Holder having length of 138mm, breadth 102mm, height of 75mm with concealed  fitting arrangements, weighing not less than 106 gms.</t>
  </si>
  <si>
    <t>DRAINAGE</t>
  </si>
  <si>
    <t>13.1.1</t>
  </si>
  <si>
    <t>Providing and laying non-pressure NP2 class (light duty) R.C.C. pipes with collars jointed with stiff mixture of cement mortar in the proportion of 1:2 (1 cement : 2 fine sand) including testing of joints etc. complete :</t>
  </si>
  <si>
    <t>100 mm dia. R.C.C. pipe</t>
  </si>
  <si>
    <t>13.2.1</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</si>
  <si>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</si>
  <si>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Inside size 90x80 cm and 45 cm deep including C.I. cover with frame (light duty) 455x610 mm internal dimensions, total weight of cover and frame to be not less than 38 kg (weight of cover 23 kg and weight of frame 15 kg) :</t>
  </si>
  <si>
    <t>13.3.1</t>
  </si>
  <si>
    <t>With common burnt clay F.P.S. (non modular) bricks of class designation 7.5</t>
  </si>
  <si>
    <t>13.3.1.1</t>
  </si>
  <si>
    <t>Extra for depth for manholes :</t>
  </si>
  <si>
    <t>Size 90x80 cm</t>
  </si>
  <si>
    <t>13.4.1</t>
  </si>
  <si>
    <t>13.4.1.1</t>
  </si>
  <si>
    <t>Providing M.S. foot rests including fixing in manholes with 20x20x10 cm cement concrete blocks 1:3:6 (1 cement : 3 coarse sand : 6 graded stone aggregate 20 mm nominal size) as per standard design :</t>
  </si>
  <si>
    <t>With 20 mm diameter round bar</t>
  </si>
  <si>
    <t>13.5.1</t>
  </si>
  <si>
    <t>Supplying and fixing C.I. cover without frame for manholes :</t>
  </si>
  <si>
    <t>455x610 mm rectangular C.I. cover (light duty) the weight of the cover to be not less than 23 kg</t>
  </si>
  <si>
    <t>13.6.1</t>
  </si>
  <si>
    <t>Making soak pit 2.5 m diameter 3.0 metre deep with 45 x 45 cm dry brick honey comb shaft with bricks and S.W. drain pipe 100 mm diameter, 1.8 m long complete as per standard design.</t>
  </si>
  <si>
    <t>14.1.1</t>
  </si>
  <si>
    <t>WATER PROOFING</t>
  </si>
  <si>
    <t>Providing and laying water proofing treatment to vertical and horizontal surfaces of depressed portions of W.C., kitchen and the like consisting of: (i) Ist course of applying cement slurry @ 4.4 kg/sqm mixed with water proofing compound conforming to IS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 sqm).</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</si>
  <si>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 in-charge. (d) Finishing the surface with 20 mm thick jointless cement mortar of mix 1:4 (1 cement :4 coarse sand) admixed with water proofing compound conforming to IS : 2645 and approved by Engineer- 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 All above operations to be done in order and as directed and specified by the Engineer-in-Charge :</t>
  </si>
  <si>
    <t>With average thickness of 120 mm and minimum thickness at khurra as 65 mm.</t>
  </si>
  <si>
    <t>15.3.1</t>
  </si>
  <si>
    <t>8.1.1</t>
  </si>
  <si>
    <t>8.4.1.1</t>
  </si>
  <si>
    <t>8.4.2</t>
  </si>
  <si>
    <t>8.4.3</t>
  </si>
  <si>
    <t>8.5.1</t>
  </si>
  <si>
    <t>Constructing brick masonry road gully chamber 50x45x60 cm with bricks in cement mortar 1:4 (1 cement : 4 coarse sand) including 500x450 mm pre-cast R.C.C. horizontal grating with frame complete as per standard design :</t>
  </si>
  <si>
    <t>13.7.1</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</si>
  <si>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t>
  </si>
  <si>
    <t>100x100 mm size P type</t>
  </si>
  <si>
    <t>13.1.1.1</t>
  </si>
  <si>
    <t>13.8.1</t>
  </si>
  <si>
    <t>Extra for providing richer mixes at all floor levels.</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</si>
  <si>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Engineer-in-charge.“(Note :- Cement content considered in this item is @ 330 kg/cum.“Excess/ less cement used as per design mix is payable/recoverable separately).</t>
  </si>
  <si>
    <t>3.8.1</t>
  </si>
  <si>
    <t>3.8.2</t>
  </si>
  <si>
    <t>3.9.1</t>
  </si>
  <si>
    <t>Design &amp; Execution of Post Tensioning works including decoiling the strands, cutting to the required lengths, supplying and laying of HT trands, sheathing(GI corrugated ducts 80mm x 20 mm 0.30 mm thick) jointing with couplers, and inserting the strands, profiling, fixing live end anchorages including the supply of stressing anchorages suitable for 5-5 , 5-3 , 5-15 &amp; 5-19 Tendons, grout vents, making dead end anchorages including flowering the strands, fixing tendon support bars, supervising the fixing of anti bursting reinforcement, stressing the cables, end trimming, grouting the cables with cement and admixtures, with required Plant &amp; Machineries, tools and tackles, consumables etc., including obtaining approval from client / consultant for the work done as per the requirement of Engineer-In charge at site.</t>
  </si>
  <si>
    <t>1:3:6 (1 Cement : 3 coarse sand (zone-III) : 6 graded stone aggregate 20 mm nominal size).</t>
  </si>
  <si>
    <t>SEATING:-</t>
  </si>
  <si>
    <t>COUNTERS AND TABLES:-</t>
  </si>
  <si>
    <r>
      <rPr>
        <b/>
        <sz val="10"/>
        <rFont val="Arial"/>
        <family val="2"/>
      </rPr>
      <t>Back RackThe Storage cabinet carcass, shelves</t>
    </r>
    <r>
      <rPr>
        <sz val="10"/>
        <rFont val="Arial"/>
        <family val="2"/>
      </rPr>
      <t xml:space="preserve"> and shutters will be made up of 18mm thick pre-laminated particle board however the back Panel shall be made out of 9mm thick pre-laminated particle board. The shelves shall be adjustable. Hinges, locks handles etc. shall be as per manufacturer specification. Pre-laminated Particle Board shall be Grade II Type II conforming to IS:12823:1990</t>
    </r>
  </si>
  <si>
    <t>Nilkamal Chair chr4016 for TV Room &amp; Bed Room</t>
  </si>
  <si>
    <r>
      <t xml:space="preserve">Providing Hostel </t>
    </r>
    <r>
      <rPr>
        <b/>
        <sz val="10"/>
        <rFont val="Arial"/>
        <family val="2"/>
      </rPr>
      <t xml:space="preserve">Double Bed </t>
    </r>
    <r>
      <rPr>
        <sz val="10"/>
        <rFont val="Arial"/>
        <family val="2"/>
      </rPr>
      <t>Built in 25mm thick MDF/Marin ply finished in approved shade of laminate /Veneer with natural PU Coating. 25X38 mm Sal wood Framing , 600 mm high head board,with movable storage belw on wheals.complete with locking system/handle as per approved design/mockup/drawing &amp; as per manufacturers specification &amp; standard range</t>
    </r>
  </si>
  <si>
    <t xml:space="preserve">Providing Bed side table as per design and drawing with same specifications </t>
  </si>
  <si>
    <t>FURNITURE ITEMS</t>
  </si>
  <si>
    <t>STRUCTURAL GLAZING &amp; ALUMINIUM COMPOSITE PANEL</t>
  </si>
  <si>
    <t>(a) Structural analysis &amp; design and preparation of shop drawings for the specified design load conforming IS:875 part-iii (the system must passed the proof test as 1.5 times design wind presure without any failure) including functional design of the aluminium section for fixing glazing panels of various thickness, aluminium cleats,sleeves,splices palte etc. structural and weather sillicon sealants,flashing,fire stop(barrier)-cum -smoke seals,microwave cured EPDM gaskets for water tightness,presure equilization, &amp; drainage and protection against fire hazard including:</t>
  </si>
  <si>
    <t>(c ) providing and filling,two part pump field,structural sillicon sealent and on epart weather sillicon sealant compatible with structural sillicon sealant of required bite size in a clean and control factory or workshop environment including double sided special tape, setting blocks and backer rod, all of approved grade,brand and manufacture,as per the approved sealant design within and all around the perimeter for holding glass.</t>
  </si>
  <si>
    <t>(d) Providing and fixing in position flashing of soilds aluminium sheet 1 mm thick and of sizes shapes and profile as required as per the site condition yo seal the gap between the building structure and all with interface with curtain glazing to make it water tight.</t>
  </si>
  <si>
    <t>(e) making provison for drainage of moisture of water that enters the curtain glazing saystems make it water tight, by incoroporating principle of presure equalisation,proving suitable gutter profiles at bottom (if required), making necessary holes of required sizes and required nos. etc complete. This iteem includes cost of all inputs of designing labour for fabricating and installation of aluminium grid, installation of glazed units, T&amp;P , Scaffolding and other incidental charges inclusing wastages etc., enabling temporary structures and services, cranes or credals etc. as described above and as specified. The item include cost of getting all the structural and functional design including shop drawings checked by structural designer , duly approved by engineer-in-charge.The items also includes cost of all mock ups at site , cost of all sample of the indivisual component for testing in an approved labrotary , field test on the assmbeled workibg structural glazing as ssecified, cleaning and protection till the handing over up the building for occupation. In the end the contractor shall provide a water tight structural glazing having all the performances characterstics etc. all complete as required, as per architectural drawings, as per item description, as specified, as pe the approved sub drawings and as directed by the engineer in charge.</t>
  </si>
  <si>
    <t>Providing M-40 grade concrete instead of M-25 grade BMC/ RMC. (Note : Cement content considered in M-40 is @ 360 kg/ cum)</t>
  </si>
  <si>
    <t>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paneling,C.P. brass / stainless steel screws, all complete as per architectural drawings and the directions of Engineer-in-charge. (Glazing, paneling and dash fasteners to be paid for separately) :</t>
  </si>
  <si>
    <t>For fixed portion</t>
  </si>
  <si>
    <t>Powder coated aluminium (minimum thickness of powder coating 50 micron)</t>
  </si>
  <si>
    <t>14.1.1.1</t>
  </si>
  <si>
    <t>2.1.1</t>
  </si>
  <si>
    <t>Wall Painting with premium acrylic emulsion paint of interior grade, having VOC (Volatile Organic Compound) content less than 50 grams/ litre, of approved brand and manufacture, including applying additional coats wherever required to achieve even shade and colour.</t>
  </si>
  <si>
    <t>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t>
  </si>
  <si>
    <t>4.1.1</t>
  </si>
  <si>
    <t>Brick work with modular extruded brunt fly ash clay sewer bricks (Conforming to IS: 4885 ) in cement mortar 1:4 (1 cement : 4 coarsesand) in foundation and plinth :</t>
  </si>
  <si>
    <t>Cement Mortar 1:4 ( 1 cement : 4 coarse sand)</t>
  </si>
  <si>
    <t>18.4.1</t>
  </si>
  <si>
    <t>18.8.</t>
  </si>
  <si>
    <t>Along external wall where the apron is not provided using chemical emulsion @ 7.5 litres / sqm of the vertical surface of the substructure to a depth of 300mm including excavation channel along the wall &amp; rodding etc. complete:</t>
  </si>
  <si>
    <t>Supplying chemical emulsion in sealed containers including delivery as specified.</t>
  </si>
  <si>
    <t>Chlorpyriphos/ Lindane emulsifiable concentrate of 20%</t>
  </si>
  <si>
    <t>Litre</t>
  </si>
  <si>
    <t>Along the external wall below concrete or masonry apron using chemical emulsion @ 2.25 litres per linear metre including drilling and plugging holes etc.:</t>
  </si>
  <si>
    <t>Treatment of soil under existing floors using chemical emulsion @ one litre per hole, 300 mm apart including drilling 12 mm diameter holes and plugging with cement mortar 1 :2 (1 cement : 2 Coarse sand) to match the existing floor:</t>
  </si>
  <si>
    <t>With Chlorpyriphos/Lindane E.C. 20% with 1% concentration</t>
  </si>
  <si>
    <t>Treatment of existing masonry using chemical emulsion @ one litre per hole at 300 mm interval including drilling holes at 45 degree and plugging them with cement mortar 1:2 (1cement : 2 coarse sand) to the full depth of the hole :</t>
  </si>
  <si>
    <t>With Chlorpyriphos/Lindane E.C. 20% with 1%
concentration</t>
  </si>
  <si>
    <t>Treatment at points of contact of wood work by chemical emulsion Chlorpyriphos/ Lindane (in oil or kerosene based solution) @ 0.5 litres per hole by drilling 6 mm dia holes at downward angle of 45 degree at 150 mm centre to centre and sealing the same.</t>
  </si>
  <si>
    <t>Providing &amp; fixing UV stabilised fiberglass reinforced plastic sheet roofing up to any pitch, including fixing with polymer coated 'J' or 'L' hooks, bolts &amp; nuts 8mm dia. G.I plain/bitumen washers complete but excluding the cost of purlins, rafters, trusses etc. The sheets shall be manufactured out of 2400 TEX panel rovigs incorporating minimum 0.3% ultra-violet stabiliser in resin system under approximately 2400 psi and hot cured. They shall be of uniform pigmentation and thickness without air pockets and shall conform to IS 10192 and IS 12866.The sheets shall be opaque or translucent, clear or pigmented, textured or smooth as specified.</t>
  </si>
  <si>
    <t>2 mm thick corrugated (2.5" or 4.2" or 6") or step-down (2" or 3" or 6" ) as specified</t>
  </si>
  <si>
    <t>2 mm thick flat</t>
  </si>
  <si>
    <t>CONSTRUCTION OF B+G+5 STORIED GIRL'S HOSTEL AT CIPET : CSTS,Bhubaneswar,ODISHA</t>
  </si>
  <si>
    <t>BIDDER NAME</t>
  </si>
  <si>
    <t>PRICE SCHEDULE</t>
  </si>
  <si>
    <t>NAME OF WORK</t>
  </si>
  <si>
    <t>RATE IN FIGURE</t>
  </si>
  <si>
    <t>TOTAL AMOUNT IN WORDS</t>
  </si>
  <si>
    <t>TOTAL AMOUNT</t>
  </si>
  <si>
    <t>RATE IN WORDS</t>
  </si>
  <si>
    <t>UNITS</t>
  </si>
  <si>
    <t>ELECTRICAL WORK ( INTERNAL )</t>
  </si>
  <si>
    <t>WIRING</t>
  </si>
  <si>
    <t>Recessed wiring light point/fan point/exhaust fan point / Call bell point in 1.5 sq.mm FR PVC insulated single core multistrand copper conductor of isi marked with 20 mm. dia non metallic PVC flexible conduct with 5 Amp,250V modular type switch ISI marked and sealing rose ISI marked mounted on modular box having front modular cover of suitable size, modular box with 1.5 sq.mm. FR PVC insulated single core multistrand cupper conductor as earth wire including all accessories and connection as per direction of engineer in charge. (Make of wire Finolex/ L&amp;T/ Anchor/ Havels/ HPL/ VGUARD)</t>
  </si>
  <si>
    <t>Group-A</t>
  </si>
  <si>
    <t>Group-B</t>
  </si>
  <si>
    <t>Group-C</t>
  </si>
  <si>
    <t xml:space="preserve">Supply and fixing of 6Amp plug with 6Amp switch on existing board     ( modular type ) </t>
  </si>
  <si>
    <t>Supply and fixing of Modular metal box on surface or in recess with suitable size of modular cover in front including providing and fixing of 6Amp plug with 6Amp  modular switches connection .</t>
  </si>
  <si>
    <t>Supply and fixing of Modular metal box on surface or in recess with suitable size of modular cover in front including providing and fixing of 6pin  6Amp &amp; 16 A socket outlet and 16Amp  modular switches connection .</t>
  </si>
  <si>
    <t xml:space="preserve">Supply and fixing of Modularfan regulator </t>
  </si>
  <si>
    <t xml:space="preserve">electronics step type  Regulator ( modular type ) </t>
  </si>
  <si>
    <t xml:space="preserve">Supplying . Fixing  of modular  switch / socket, TV socket , Telephone socket etc </t>
  </si>
  <si>
    <t xml:space="preserve">Telephone socket outlert ( modular type ) </t>
  </si>
  <si>
    <t xml:space="preserve">TV antena  socket outlert ( modular type ) </t>
  </si>
  <si>
    <t>g</t>
  </si>
  <si>
    <t xml:space="preserve">Call bell push  ( modular type ) </t>
  </si>
  <si>
    <t xml:space="preserve">Supplying .and fixing  of following sizes of modular boxes in recessed wiring including  cutting the wall and making good the same in case of recessed conduit as required  ( modular  box + cover + fixing + Labour cess ) </t>
  </si>
  <si>
    <t>2 modulee</t>
  </si>
  <si>
    <t>3 modulee</t>
  </si>
  <si>
    <t>Recessed submain wiring alongwith earth wire with the following sizes  of PVC insulated single core multistrend copper conductor of ISI marked conforming to IS-694/1990 in 20 mm dia non-metallic heavy duty flexible conduct 1.6mm in recessed PVC conduit as required . (Make of wire Finolex/ L&amp;T/ Anchor/ Havels/ HPL/ VGUARD).</t>
  </si>
  <si>
    <t xml:space="preserve">2 x 2.5 sqmm + 1 x 2.5sqmm </t>
  </si>
  <si>
    <t xml:space="preserve">2 x 4.0 sqmm + 1 x 4sqmm </t>
  </si>
  <si>
    <t xml:space="preserve">2 x 6.0 sqmm + 1 x 6sqmm </t>
  </si>
  <si>
    <t xml:space="preserve">4 x 6.0 sqmm + 2 x 6sqmm </t>
  </si>
  <si>
    <t xml:space="preserve">4 x 10.0 sqmm + 2 x 6sqmm </t>
  </si>
  <si>
    <t xml:space="preserve">4 x 16.0 sqmm + 2 x 6sqmm </t>
  </si>
  <si>
    <t xml:space="preserve">Subtotal </t>
  </si>
  <si>
    <t xml:space="preserve">CABLING </t>
  </si>
  <si>
    <t xml:space="preserve">    2 core X 06 sqmm  Al . Ar Cable </t>
  </si>
  <si>
    <t xml:space="preserve">    4 core X 10 sqmm  Al . Ar Cable </t>
  </si>
  <si>
    <t xml:space="preserve"> 3.5 core X 25 sqmm  Al . Ar Cable </t>
  </si>
  <si>
    <t xml:space="preserve"> 3.5 core X 50 sqmm  Al . Ar Cable </t>
  </si>
  <si>
    <t xml:space="preserve"> 3.5 core X 70 sqmm  Al . Ar Cable </t>
  </si>
  <si>
    <t xml:space="preserve"> 3.5 core X 120 sqmm  Al . Ar Cable </t>
  </si>
  <si>
    <t xml:space="preserve">Cable laying </t>
  </si>
  <si>
    <t xml:space="preserve">cable laying on wall surface </t>
  </si>
  <si>
    <t xml:space="preserve">Trench with sand spreading and brick laying and laying of cable in trench in 2  1/2' or 750mm depth  PVC cable upto 35sqmm </t>
  </si>
  <si>
    <t xml:space="preserve">Trench with sand spreading and brick laying and laying of cable in trench in 2  1/2' or 750mm depth  PVC cable exceeding  35sqmm to 120 sqmm </t>
  </si>
  <si>
    <t xml:space="preserve">Trench with sand spreading and brick laying and laying of cable in trench in 2  1/2' or 750mm depth  PVC cable exceeding   120 sqmm to 400 sqmm </t>
  </si>
  <si>
    <t xml:space="preserve">Supply and making end termination with brass compression of gland and aluminium lugs for following size of  PVC insulated and PVC sheathed/ XLPE aluminium cable of 1.1 KV grade ( without cost of cable ) </t>
  </si>
  <si>
    <t>300 mm width with supporting accessories  cable GI  trey  laying on below roof and complete</t>
  </si>
  <si>
    <t xml:space="preserve">Subtotal  </t>
  </si>
  <si>
    <t>CONTROL PANEL BOARD</t>
  </si>
  <si>
    <t>Supply, delivery, installation, testing &amp; commissioning of L.T. indoor floor/ wall mounted type distribution boards made out of 2 mm thick CR sheet metal cubicle fixed on m.s. channel base, duly acid treated for derusting, primered and painted with 2 coats of enamel paint of approved shade; dust, damp &amp; vermin proof ; having hinged door and compartmental arrangement  for each  equipment  &amp; busbar chamber on  the top of the panel running horizontally; having provision for cable/ conduit entry, earthing studs as per specification mentioned below duly factory wired conforming to the relevant ISS  and  as  per  special conditions of contract making good the damages caused and complete in all respect as per the direction of Engineer-in-charge/ Owner .</t>
  </si>
  <si>
    <t xml:space="preserve">M D B-L ( Panel Room ) </t>
  </si>
  <si>
    <t xml:space="preserve">( Provision for locking arrangement ) </t>
  </si>
  <si>
    <t>incoming :</t>
  </si>
  <si>
    <t xml:space="preserve">1 no 200 A FP MCCB  </t>
  </si>
  <si>
    <t xml:space="preserve">outgoing </t>
  </si>
  <si>
    <t>Busbar : 4  Nos  400A,  500V Electrolytic copper strips</t>
  </si>
  <si>
    <t xml:space="preserve">04 no  of  100A TP MCCB </t>
  </si>
  <si>
    <t xml:space="preserve">05 nos of  63A TP MCCB </t>
  </si>
  <si>
    <t xml:space="preserve">08 nos of  32A TP MCCB </t>
  </si>
  <si>
    <t xml:space="preserve">Instruments: </t>
  </si>
  <si>
    <t>1 Nos. Multi-function meters showing voltage, current, pf, frequency, MD with required 100/5A CTs</t>
  </si>
  <si>
    <t>1set: LED type R-Y-B phase indicating lamps with control fuses</t>
  </si>
  <si>
    <t>Set</t>
  </si>
  <si>
    <t xml:space="preserve">S D B-L ( Panel Room ) </t>
  </si>
  <si>
    <t xml:space="preserve">1 no 100 A FP MCCB  </t>
  </si>
  <si>
    <t>Busbar : 4  Nos  200A,  500V Electrolytic copper strips</t>
  </si>
  <si>
    <t xml:space="preserve">04 nos of  63A TP MCCB </t>
  </si>
  <si>
    <t xml:space="preserve">02 nos of  32A TP MCCB </t>
  </si>
  <si>
    <t xml:space="preserve">BDB - CS </t>
  </si>
  <si>
    <t>1 no 160 A four pole MCCB</t>
  </si>
  <si>
    <t xml:space="preserve">outgoing  </t>
  </si>
  <si>
    <t>Busbar : 4 Nos 200A, 500V Electrolytic copper strips</t>
  </si>
  <si>
    <t xml:space="preserve">02 nos of   100A TP   MCCB  </t>
  </si>
  <si>
    <t xml:space="preserve">04 nos of    63A TPN  MCB  </t>
  </si>
  <si>
    <t xml:space="preserve">06 nos of    20A DP  MCB </t>
  </si>
  <si>
    <t xml:space="preserve">01 nos of    25A DP  MCB  </t>
  </si>
  <si>
    <t>01 no 63A contactor</t>
  </si>
  <si>
    <t xml:space="preserve">01 no of timer </t>
  </si>
  <si>
    <t>BDB - LIFT</t>
  </si>
  <si>
    <t xml:space="preserve">1 no 63 A FP MCCB </t>
  </si>
  <si>
    <t>Busbar : 4 Nos 100A, 500V Electrolytic copper strips</t>
  </si>
  <si>
    <t xml:space="preserve">03 nos of    20A DP  MCB  </t>
  </si>
  <si>
    <t xml:space="preserve">02 nos of    63A TPN  MCB   </t>
  </si>
  <si>
    <t xml:space="preserve">Sub total </t>
  </si>
  <si>
    <t xml:space="preserve">DISTRIBUTION COMPANY BOARD </t>
  </si>
  <si>
    <t>SPN DB - supply and fixing of following way Three pole and neutral, sheet steel, MBC distribution board consumer unit, 415 volt on surface/recess, complete with tinned copper bus bar, neutral busbar, earth bar, din bar, hind front acrylic cover for the MCB knobs detouchable gland plate, inter connection, phosphatised and powder painted including earthing etc. as required ( but without MCB/ RCCB/ Isolator)</t>
  </si>
  <si>
    <t xml:space="preserve">6way ( 2 + 4 way single door horizontal type ) </t>
  </si>
  <si>
    <t>TPN DB - supply and fixing of following way Three pole and neutral, sheet steel, MBC distribution board consumer unit, 415 volt on surface/recess, complete with tinned copper bus bar, neutral busbar, earth bar, din bar, hind front acrylic cover for the MCB knobs detouchable gland plate, inter connection, phosphatised and powder painted including earthing etc. as required ( but without MCB/ RCCB/ Isolator)</t>
  </si>
  <si>
    <t xml:space="preserve">4way ( 4 + 12 way single door horizontal type ) </t>
  </si>
  <si>
    <t>supply and fixing of 5 Amp to 32 Amp rating 240/415 V B series miniature circuit breaker suitable for lightning and other loads for the following poles in the existing MCB DB ISI marked complete with connection testing and commissioning etc. as required.</t>
  </si>
  <si>
    <t>single pole</t>
  </si>
  <si>
    <t>supply and fixing of 5Amp to 63 Amp rating 240/415 v "B" series Isolator  suitable for lighting and other loads of the following poles in the existing BCB DB  ISI marked complete with connection testing and commissioning etc. as required.</t>
  </si>
  <si>
    <t xml:space="preserve">63 Amp  TPN </t>
  </si>
  <si>
    <t>supply and fixing of  63Amp rating 240/415 v  Isolator  suitable for lighting and other loads of the following poles in the existing BCB DB  ISI marked complete with connection testing and commissioning etc. as required.</t>
  </si>
  <si>
    <t>32 Amp  FP</t>
  </si>
  <si>
    <t>32 Amp  DP</t>
  </si>
  <si>
    <t xml:space="preserve">Sub total  </t>
  </si>
  <si>
    <t>EARTHING</t>
  </si>
  <si>
    <t xml:space="preserve">Supply and fixing earthing with GI earth pipe 3mtr long 40 mm dia ISI marked including accessories and providing masonary enclosure with cover plate having looking arrangement and watering pipe etc. with charcoal and salt as required. </t>
  </si>
  <si>
    <t>standard earthing as per Govt. spcn</t>
  </si>
  <si>
    <t xml:space="preserve">providing and fixing 30mm x 6mm GI  strip </t>
  </si>
  <si>
    <t xml:space="preserve">LIGHTNING PROTECTION </t>
  </si>
  <si>
    <t>Providing and fixing of lightning conductor finial made 25mm dia 300 mm long , GI tube, having single prong at top, with85mm dia 6mm thick GI base plate including holes etc. complete as required.</t>
  </si>
  <si>
    <t>P/F  of testing Joint ( G I ) - Providing and fixing of testing joint . Made of   20mm x 3mm  thick GI strip , 125mm long with 4 nos of G  I bolts , check nut and spring washer  complete as required.</t>
  </si>
  <si>
    <t>FITTING &amp; FIXTURES( Internal Building )</t>
  </si>
  <si>
    <r>
      <t xml:space="preserve">Supply,fixing of  </t>
    </r>
    <r>
      <rPr>
        <b/>
        <sz val="10"/>
        <rFont val="Arial"/>
        <family val="2"/>
      </rPr>
      <t xml:space="preserve"> LED tubelet light</t>
    </r>
    <r>
      <rPr>
        <sz val="10"/>
        <rFont val="Arial"/>
        <family val="2"/>
      </rPr>
      <t xml:space="preserve">  ( make Havells , Philips , Crompton )   ( Philips cat No SM270C LED 305 6500 PSU WH  )</t>
    </r>
  </si>
  <si>
    <r>
      <t xml:space="preserve">Supply,fixing of   </t>
    </r>
    <r>
      <rPr>
        <b/>
        <sz val="10"/>
        <rFont val="Arial"/>
        <family val="2"/>
      </rPr>
      <t xml:space="preserve"> LED tubelet light</t>
    </r>
    <r>
      <rPr>
        <sz val="10"/>
        <rFont val="Arial"/>
        <family val="2"/>
      </rPr>
      <t xml:space="preserve">  ( make Havells , Philips , Crompton ) ( Philips cat No  SP680  LED 395 -6500 PSUwhl120s1  )</t>
    </r>
  </si>
  <si>
    <t xml:space="preserve">Supply, Fixing of LED   bulb on fitting with all connection  </t>
  </si>
  <si>
    <t xml:space="preserve">Supply, Fixing of LED   mirror on fitting with all connection   ( Philips cat No BN021CLED 10S  ) </t>
  </si>
  <si>
    <r>
      <t xml:space="preserve">Supply,fixing of  </t>
    </r>
    <r>
      <rPr>
        <b/>
        <sz val="10"/>
        <rFont val="Arial"/>
        <family val="2"/>
      </rPr>
      <t xml:space="preserve">  LED round  surface  fittings</t>
    </r>
    <r>
      <rPr>
        <sz val="10"/>
        <rFont val="Arial"/>
        <family val="2"/>
      </rPr>
      <t xml:space="preserve"> ( make Havells , Philips , Baja, PAC )  ( Philips cat No dn 170LED 10 S 6500PSU  WH</t>
    </r>
  </si>
  <si>
    <t xml:space="preserve">Supply of  Ceiling fan </t>
  </si>
  <si>
    <t xml:space="preserve">1200mm sweep ac  ceiling fans-zest  </t>
  </si>
  <si>
    <t xml:space="preserve">Nos </t>
  </si>
  <si>
    <t xml:space="preserve">Supply of  exhaust fan </t>
  </si>
  <si>
    <t xml:space="preserve">300mm exhaust fans </t>
  </si>
  <si>
    <t xml:space="preserve">Fixing of  ceiling fan with all connection  </t>
  </si>
  <si>
    <t xml:space="preserve">Fixing of  charges exhaust fan with making hole on wall and all arrangement and all connection  </t>
  </si>
  <si>
    <t>CIVIL WORK</t>
  </si>
  <si>
    <t>QUANTITY</t>
  </si>
  <si>
    <t>SUMMARY SHEET</t>
  </si>
  <si>
    <t>AMOUNT IN           FIGURE</t>
  </si>
  <si>
    <t>AMOUNT IN           WORDS</t>
  </si>
  <si>
    <t>CIVIL PART</t>
  </si>
  <si>
    <t>EARTHWORK</t>
  </si>
  <si>
    <t>REINFORCED CEMENT CONCRETE WORK</t>
  </si>
  <si>
    <t>BRICK WORK</t>
  </si>
  <si>
    <t>POST TENSIONING</t>
  </si>
  <si>
    <t>FURNITURE</t>
  </si>
  <si>
    <t>ELECTRICAL PART</t>
  </si>
  <si>
    <t>CABLING</t>
  </si>
  <si>
    <t>DISTRIBUTION COMPANY BOARD</t>
  </si>
  <si>
    <t>FITTING &amp; FIXTURES (Internal Building )</t>
  </si>
  <si>
    <t>GRAND TOTAL=</t>
  </si>
  <si>
    <r>
      <rPr>
        <b/>
        <sz val="10"/>
        <color theme="1"/>
        <rFont val="Arial"/>
        <family val="2"/>
      </rPr>
      <t>3 seater waiting chair</t>
    </r>
    <r>
      <rPr>
        <sz val="10"/>
        <color theme="1"/>
        <rFont val="Arial"/>
        <family val="2"/>
      </rPr>
      <t xml:space="preserve"> Non-Magnetic SS perforated sheet seat and back shell made of high quality steel makes it strong and durable.
1608 mm (L) X 695 (H) X 555 (D).
Legs and Armrests are made of cold rolled steel and are chrome plated for
long life. Armrest and legs are anti-rust and anti-scratch.</t>
    </r>
  </si>
  <si>
    <r>
      <rPr>
        <b/>
        <sz val="10"/>
        <rFont val="Arial"/>
        <family val="2"/>
      </rPr>
      <t xml:space="preserve">Canteen Chair </t>
    </r>
    <r>
      <rPr>
        <sz val="10"/>
        <rFont val="Arial"/>
        <family val="2"/>
      </rPr>
      <t>Single piece wooden profile compressed plywood, seat and back being one piece shall be supported on MS CRCA frame comprising 19mm dia CRCA pipe 1.6mm. For durability, seat to be fixed to the base frame with steel inserts embbeded below the seat and shall be held with stainless steel bolts of appropiate dia. The legs of the chair to be provide with nylonshoes inserted into pipe and shall also be pop rivited. No wooden screw shall be used for fixing the chair. All the MS frame shall be black powder coated with 45-50 micron thickness after giving proper anti- corosion treatment.</t>
    </r>
  </si>
  <si>
    <t xml:space="preserve">Providing Bed side Table of outer dimensions18"x18"x18" made of 19mm commercial board (Century/Greenply make), having one drawer and one shutter cabin beneath. All outer surfaces to be finished in 1 mm laminate (silicon, greenply, formica, merino) as approved by NIB. Back side of table to be fixed with 8mm ply (Duro/ Uniply) finished with 0.8mm laminate as approved. The drawer shall be supported on telescopic channels (ebco/Hettich/Hafele make) and shall have universal drawer (75mm,6 lever) lock. All the internal surfaces to be finished inch 0.8mm white/ ivory color laminate (silicon, merino, greenply, formica). The exposed/ unexposed surface if any shall be finished in matte melamine polish. The table to have adjustable nylon shoes. The finished product shall be delivered to the site duly covered with bubble sheet to avoid any breakage etc. However in case of any minor repair arising out of transportation etc. the same shall be repaired/replaced immediately by the supplier without any extra cost. </t>
  </si>
  <si>
    <r>
      <rPr>
        <b/>
        <sz val="10"/>
        <rFont val="Arial"/>
        <family val="2"/>
      </rPr>
      <t xml:space="preserve">STAINLESS STEEL CANTEEN TABLE: </t>
    </r>
    <r>
      <rPr>
        <sz val="10"/>
        <rFont val="Arial"/>
        <family val="2"/>
      </rPr>
      <t>Size : 4'6" L x 2'8"W x 2'6"H
1.Table top to be made of 1.2mm stainless steel [SS 304] sheet double bent on all  sides provide it edge strength and 20G hat - section stiffeners or equivalent to absolutely eliminate bucklingof the top surface. The overall dimension of the bent portion around the table to be 41.2mm.</t>
    </r>
  </si>
  <si>
    <t xml:space="preserve">2. The frame to be of size 40x40x1.2mm . Table top to be supported on four legs in 40x40mm size in 1.2mm stainless steel material.                                                                    3. All steel parts shall be buffed and TIG welded wherever neccesary.                                 4. Nylon shoes are provided at the bottom of the legs inserted into pipe with pop rivet.     5. No leg rest or cross bar to be provided.      </t>
  </si>
  <si>
    <r>
      <rPr>
        <b/>
        <sz val="10"/>
        <color theme="1"/>
        <rFont val="Arial"/>
        <family val="2"/>
      </rPr>
      <t>Providing Single Hostel bed</t>
    </r>
    <r>
      <rPr>
        <sz val="10"/>
        <color theme="1"/>
        <rFont val="Arial"/>
        <family val="2"/>
      </rPr>
      <t xml:space="preserve"> Overall size: 1850 L x 950 W x 460 H (mm)
Material description: -
a) Leg frame tube 50.8x25.4x1.60 (mm) (16 swg) ERW rectangular tube and side frame thickness 50.8x50.8 x1.6 mm
b) Four number of support members 25x25mmx1.6mm thick ERW square tube.
c) Angle support of 25.0x25.0x3.0 (mm) on head and leg side and the two long sides.
d) 19mm thick (IS 710) water proof plywood (century, kit ply, green or equivalent etc.) with a protective layer of melamine on top and below the plywood with IS signs and company mark should be clearly visible.
e) All steel parts powder coated 50 to 60 microns (IS 13871) after pretreatment.
f) Head and tail side need not be raised above the mattress level if this are raised above the top plywood level.
g) 8 numbers of connectors connecting the top frame to legs with structural member equivalent to the top frame size and thickness of 100 mm and 16 swg respectively minimum inner sides or right-angle members i.e. leg and top frame.
h) Nylon shoes for all four legs.
i) Any color
j) With rigid stiffener without screw.</t>
    </r>
  </si>
  <si>
    <r>
      <rPr>
        <b/>
        <sz val="10"/>
        <color theme="1"/>
        <rFont val="Arial"/>
        <family val="2"/>
      </rPr>
      <t xml:space="preserve">STUDY TABLE </t>
    </r>
    <r>
      <rPr>
        <sz val="10"/>
        <color theme="1"/>
        <rFont val="Arial"/>
        <family val="2"/>
      </rPr>
      <t xml:space="preserve">- Overall size: 1000 L x500 B x 750 H (mm)
Material description: -
a) Main top writing surface board is made of 19mm thick water proof plywood BIS marked (century, kit ply, green or equivalent etc.) the top surface and the surface below the top are laminated with 1mm thick and 0.5 mm thick lamination of the desired shade and balancing white respectively. The open edges on all the four sides of the top are duly edge banded with PVC tape of 2mm thickness on a through feed machine.
b) Tubular frame of the study table is made of 25.4x25.4 (mm) Square section CRAC ERW (Electric Resistance Welded) tubes in thickness of 1.6mm.
c) Single Drawer unit made of 22gauge (0.8mm thick) CRAC Sheet IS 513. Drawer with telescopic channel for easy smooth movement. Good quality drawer Hasp and staple (kunda) &amp; handle, overall size of storage unit is not less than 250(W)x375(D)x100(H) (mm).
d) Good Quality nylon shoes and cap.
e) All steel parts should be powder coated in 50 to 60 microns (IS 13871) after pretreatment.
f) Any color
g) The top board is projected by 25mm from all the sides.
h) Joint must be welded/Use of screw is not allowed. </t>
    </r>
  </si>
  <si>
    <t>Per Litre</t>
  </si>
  <si>
    <t>Designing,fabricating,testing,protection,installing and fixing in position semi(grid) unitized system of structural glazing (with open joints) for linear as well as curvilinear portions of the buildings for all heights and all levels, including</t>
  </si>
  <si>
    <t xml:space="preserve">(b)fabricating and supplysing serrated M.S. hot deeped galvanized or aluminium alloy of 6005 T5brackets of required size sections and profiles etc. to accommodate 3 dimensional movements for achieving perfect verticality and fixing structural glazing systems rigidly to the RCC or Masonary or strctural steel frame work of building structures using stainless steel anchor fastners or bolts, nylon separators to prevent bimetallic contacts with nuts and washers etc. of stainless steel grade 316 of the required capacity and required numbers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</si>
</sst>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 #,##0.00_ ;_ * \-#,##0.00_ ;_ * &quot;-&quot;??_ ;_ @_ "/>
    <numFmt numFmtId="165" formatCode="_ &quot;Rs.&quot;\ * #,##0.00_ ;_ &quot;Rs.&quot;\ * \-#,##0.00_ ;_ &quot;Rs.&quot;\ * &quot;-&quot;??_ ;_ @_ "/>
    <numFmt numFmtId="166" formatCode="_-* #,##0.00_-;\-* #,##0.00_-;_-* &quot;-&quot;??_-;_-@_-"/>
    <numFmt numFmtId="167" formatCode="0.0"/>
    <numFmt numFmtId="168" formatCode="0.000"/>
    <numFmt numFmtId="169" formatCode="0.00000"/>
    <numFmt numFmtId="170" formatCode="0.0000"/>
    <numFmt numFmtId="171" formatCode="_(* #,##0.000_);_(* \(#,##0.000\);_(* &quot;-&quot;??_);_(@_)"/>
    <numFmt numFmtId="172" formatCode="_(* #,##0.0000_);_(* \(#,##0.0000\);_(* &quot;-&quot;??_);_(@_)"/>
    <numFmt numFmtId="173" formatCode="0;[Red]0"/>
    <numFmt numFmtId="174" formatCode="_(* #,##0_);_(* \(#,##0\);_(* &quot;-&quot;??_);_(@_)"/>
  </numFmts>
  <fonts count="106">
    <font>
      <sz val="10"/>
      <name val="Arial"/>
    </font>
    <font>
      <sz val="10"/>
      <name val="Arial"/>
      <family val="2"/>
    </font>
    <font>
      <b/>
      <sz val="10"/>
      <name val="Arial"/>
      <family val="2"/>
    </font>
    <font>
      <sz val="10"/>
      <color indexed="8"/>
      <name val="Arial"/>
      <family val="2"/>
    </font>
    <font>
      <sz val="10"/>
      <name val="Arial"/>
      <family val="2"/>
    </font>
    <font>
      <b/>
      <sz val="10"/>
      <color indexed="8"/>
      <name val="Arial"/>
      <family val="2"/>
    </font>
    <font>
      <b/>
      <sz val="10"/>
      <name val="Comic Sans MS"/>
      <family val="4"/>
    </font>
    <font>
      <u/>
      <sz val="10"/>
      <color indexed="12"/>
      <name val="Arial"/>
      <family val="2"/>
    </font>
    <font>
      <b/>
      <sz val="12"/>
      <color indexed="8"/>
      <name val="Comic Sans MS"/>
      <family val="4"/>
    </font>
    <font>
      <sz val="10"/>
      <name val="Arial Narrow"/>
      <family val="2"/>
    </font>
    <font>
      <b/>
      <u/>
      <sz val="10"/>
      <name val="Arial Narrow"/>
      <family val="2"/>
    </font>
    <font>
      <sz val="9"/>
      <name val="Arial Narrow"/>
      <family val="2"/>
    </font>
    <font>
      <b/>
      <sz val="10"/>
      <name val="Arial Narrow"/>
      <family val="2"/>
    </font>
    <font>
      <b/>
      <u/>
      <sz val="12"/>
      <name val="Arial Narrow"/>
      <family val="2"/>
    </font>
    <font>
      <b/>
      <sz val="14"/>
      <name val="Times New Roman"/>
      <family val="1"/>
    </font>
    <font>
      <b/>
      <sz val="12"/>
      <name val="Arial"/>
      <family val="2"/>
    </font>
    <font>
      <b/>
      <sz val="12"/>
      <name val="Times New Roman"/>
      <family val="1"/>
    </font>
    <font>
      <sz val="10"/>
      <name val="Verdana"/>
      <family val="2"/>
    </font>
    <font>
      <b/>
      <sz val="10"/>
      <name val="Verdana"/>
      <family val="2"/>
    </font>
    <font>
      <sz val="10"/>
      <color indexed="8"/>
      <name val="Arial Narrow"/>
      <family val="2"/>
    </font>
    <font>
      <sz val="11"/>
      <name val="Arial"/>
      <family val="2"/>
    </font>
    <font>
      <sz val="10"/>
      <color indexed="14"/>
      <name val="Arial"/>
      <family val="2"/>
    </font>
    <font>
      <b/>
      <sz val="10"/>
      <color indexed="10"/>
      <name val="Arial"/>
      <family val="2"/>
    </font>
    <font>
      <sz val="11"/>
      <name val="Rupee Foradian"/>
      <family val="2"/>
    </font>
    <font>
      <b/>
      <u/>
      <sz val="11"/>
      <name val="Arial"/>
      <family val="2"/>
    </font>
    <font>
      <b/>
      <u/>
      <sz val="11"/>
      <name val="Rupee Foradian"/>
      <family val="2"/>
    </font>
    <font>
      <b/>
      <sz val="11"/>
      <color indexed="8"/>
      <name val="Arial"/>
      <family val="2"/>
    </font>
    <font>
      <b/>
      <sz val="11"/>
      <name val="Arial"/>
      <family val="2"/>
    </font>
    <font>
      <sz val="10"/>
      <name val="Rupee Foradian"/>
      <family val="2"/>
    </font>
    <font>
      <b/>
      <u/>
      <sz val="10"/>
      <name val="Arial"/>
      <family val="2"/>
    </font>
    <font>
      <b/>
      <u/>
      <sz val="10"/>
      <name val="Rupee Foradian"/>
      <family val="2"/>
    </font>
    <font>
      <b/>
      <sz val="10"/>
      <name val="Rupee Foradian"/>
      <family val="2"/>
    </font>
    <font>
      <b/>
      <sz val="18"/>
      <name val="Arial"/>
      <family val="2"/>
    </font>
    <font>
      <u/>
      <sz val="10"/>
      <name val="Arial"/>
      <family val="2"/>
    </font>
    <font>
      <sz val="9"/>
      <name val="Arial"/>
      <family val="2"/>
    </font>
    <font>
      <b/>
      <sz val="14"/>
      <name val="Arial"/>
      <family val="2"/>
    </font>
    <font>
      <b/>
      <sz val="10"/>
      <name val="Tahoma"/>
      <family val="2"/>
    </font>
    <font>
      <b/>
      <sz val="9"/>
      <name val="Arial"/>
      <family val="2"/>
    </font>
    <font>
      <sz val="10"/>
      <color indexed="10"/>
      <name val="Arial"/>
      <family val="2"/>
    </font>
    <font>
      <b/>
      <sz val="10"/>
      <color indexed="8"/>
      <name val="Arial Narrow"/>
      <family val="2"/>
    </font>
    <font>
      <sz val="10"/>
      <name val="Rupee Foradian"/>
    </font>
    <font>
      <sz val="14"/>
      <name val="Times New Roman"/>
      <family val="1"/>
    </font>
    <font>
      <b/>
      <sz val="11"/>
      <name val="Times New Roman"/>
      <family val="1"/>
    </font>
    <font>
      <b/>
      <sz val="13"/>
      <color indexed="8"/>
      <name val="Verdana"/>
      <family val="2"/>
    </font>
    <font>
      <b/>
      <sz val="12"/>
      <color indexed="8"/>
      <name val="Verdana"/>
      <family val="2"/>
    </font>
    <font>
      <b/>
      <sz val="13"/>
      <name val="Arial"/>
      <family val="2"/>
    </font>
    <font>
      <sz val="10"/>
      <color indexed="13"/>
      <name val="Arial"/>
      <family val="2"/>
    </font>
    <font>
      <b/>
      <sz val="10"/>
      <name val="Calibri"/>
      <family val="2"/>
    </font>
    <font>
      <b/>
      <u/>
      <sz val="14"/>
      <color indexed="12"/>
      <name val="Times New Roman"/>
      <family val="1"/>
    </font>
    <font>
      <b/>
      <sz val="14"/>
      <color indexed="10"/>
      <name val="Times New Roman"/>
      <family val="1"/>
    </font>
    <font>
      <b/>
      <sz val="17"/>
      <name val="Times New Roman"/>
      <family val="1"/>
    </font>
    <font>
      <b/>
      <sz val="11"/>
      <color indexed="10"/>
      <name val="Times New Roman"/>
      <family val="1"/>
    </font>
    <font>
      <b/>
      <sz val="11"/>
      <color indexed="8"/>
      <name val="Verdana"/>
      <family val="2"/>
    </font>
    <font>
      <sz val="14"/>
      <color indexed="8"/>
      <name val="Verdana"/>
      <family val="2"/>
    </font>
    <font>
      <b/>
      <sz val="10"/>
      <color indexed="8"/>
      <name val="Verdana"/>
      <family val="2"/>
    </font>
    <font>
      <b/>
      <sz val="14"/>
      <color indexed="12"/>
      <name val="Times New Roman"/>
      <family val="1"/>
    </font>
    <font>
      <b/>
      <sz val="11"/>
      <color indexed="12"/>
      <name val="Times New Roman"/>
      <family val="1"/>
    </font>
    <font>
      <b/>
      <sz val="10"/>
      <name val="Times New Roman"/>
      <family val="1"/>
    </font>
    <font>
      <sz val="10"/>
      <name val="Arial"/>
      <family val="2"/>
    </font>
    <font>
      <sz val="10"/>
      <name val="Arial"/>
      <family val="2"/>
    </font>
    <font>
      <b/>
      <u/>
      <sz val="13"/>
      <name val="Arial"/>
      <family val="2"/>
    </font>
    <font>
      <b/>
      <sz val="11"/>
      <color indexed="8"/>
      <name val="Calibri"/>
      <family val="2"/>
    </font>
    <font>
      <sz val="9"/>
      <name val="Calibri"/>
      <family val="2"/>
    </font>
    <font>
      <vertAlign val="superscript"/>
      <sz val="9"/>
      <name val="Calibri"/>
      <family val="2"/>
    </font>
    <font>
      <sz val="10"/>
      <name val="Arial"/>
      <family val="2"/>
    </font>
    <font>
      <b/>
      <sz val="10"/>
      <name val="Bookman Old Style"/>
      <family val="1"/>
    </font>
    <font>
      <sz val="10"/>
      <name val="Bookman Old Style"/>
      <family val="1"/>
    </font>
    <font>
      <b/>
      <u/>
      <sz val="10"/>
      <name val="Bookman Old Style"/>
      <family val="1"/>
    </font>
    <font>
      <b/>
      <sz val="11"/>
      <name val="Comic Sans MS"/>
      <family val="4"/>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sz val="10"/>
      <color theme="1"/>
      <name val="Arial"/>
      <family val="2"/>
    </font>
    <font>
      <sz val="11"/>
      <color rgb="FF0000FF"/>
      <name val="Calibri"/>
      <family val="2"/>
      <scheme val="minor"/>
    </font>
    <font>
      <b/>
      <sz val="11"/>
      <color rgb="FF0000FF"/>
      <name val="Calibri"/>
      <family val="2"/>
      <scheme val="minor"/>
    </font>
    <font>
      <b/>
      <sz val="11"/>
      <name val="Calibri"/>
      <family val="2"/>
      <scheme val="minor"/>
    </font>
    <font>
      <sz val="11"/>
      <name val="Calibri"/>
      <family val="2"/>
      <scheme val="minor"/>
    </font>
    <font>
      <sz val="10"/>
      <color rgb="FF00B050"/>
      <name val="Arial"/>
      <family val="2"/>
    </font>
    <font>
      <b/>
      <sz val="10"/>
      <color theme="1"/>
      <name val="Arial"/>
      <family val="2"/>
    </font>
    <font>
      <b/>
      <sz val="10"/>
      <color rgb="FFFF0000"/>
      <name val="Arial"/>
      <family val="2"/>
    </font>
    <font>
      <b/>
      <sz val="11"/>
      <color rgb="FF0000FF"/>
      <name val="Comic Sans MS"/>
      <family val="4"/>
    </font>
    <font>
      <b/>
      <sz val="10"/>
      <color rgb="FF00CC00"/>
      <name val="Arial"/>
      <family val="2"/>
    </font>
    <font>
      <b/>
      <sz val="10"/>
      <color rgb="FF0000FF"/>
      <name val="Arial"/>
      <family val="2"/>
    </font>
    <font>
      <b/>
      <sz val="10"/>
      <color theme="9" tint="-0.249977111117893"/>
      <name val="Arial"/>
      <family val="2"/>
    </font>
    <font>
      <b/>
      <sz val="12"/>
      <color rgb="FF00CC00"/>
      <name val="Arial"/>
      <family val="2"/>
    </font>
    <font>
      <b/>
      <sz val="13"/>
      <color rgb="FFFF0000"/>
      <name val="Arial"/>
      <family val="2"/>
    </font>
    <font>
      <sz val="9"/>
      <color theme="1"/>
      <name val="Arial"/>
      <family val="2"/>
    </font>
    <font>
      <b/>
      <sz val="11"/>
      <color rgb="FFC00000"/>
      <name val="Calibri"/>
      <family val="2"/>
      <scheme val="minor"/>
    </font>
    <font>
      <b/>
      <sz val="12"/>
      <color rgb="FF0000FF"/>
      <name val="Calibri"/>
      <family val="2"/>
      <scheme val="minor"/>
    </font>
    <font>
      <sz val="12"/>
      <name val="Calibri"/>
      <family val="2"/>
      <scheme val="minor"/>
    </font>
    <font>
      <b/>
      <sz val="12"/>
      <color rgb="FFFF0000"/>
      <name val="Calibri"/>
      <family val="2"/>
      <scheme val="minor"/>
    </font>
    <font>
      <b/>
      <u/>
      <sz val="14"/>
      <color rgb="FF0000FF"/>
      <name val="Times New Roman"/>
      <family val="1"/>
    </font>
    <font>
      <b/>
      <sz val="14"/>
      <color rgb="FFFF0000"/>
      <name val="Times New Roman"/>
      <family val="1"/>
    </font>
    <font>
      <b/>
      <sz val="11"/>
      <color rgb="FFFF0000"/>
      <name val="Arial"/>
      <family val="2"/>
    </font>
    <font>
      <b/>
      <sz val="10"/>
      <color rgb="FFFF0000"/>
      <name val="Times New Roman"/>
      <family val="1"/>
    </font>
    <font>
      <b/>
      <sz val="10"/>
      <color rgb="FFFF0000"/>
      <name val="Verdana"/>
      <family val="2"/>
    </font>
    <font>
      <sz val="10"/>
      <color theme="1"/>
      <name val="Verdana"/>
      <family val="2"/>
    </font>
    <font>
      <b/>
      <sz val="10"/>
      <color theme="1"/>
      <name val="Verdana"/>
      <family val="2"/>
    </font>
    <font>
      <b/>
      <sz val="11"/>
      <color theme="1"/>
      <name val="Arial"/>
      <family val="2"/>
    </font>
    <font>
      <sz val="11"/>
      <color theme="1"/>
      <name val="Arial"/>
      <family val="2"/>
    </font>
    <font>
      <b/>
      <sz val="10"/>
      <color rgb="FFC00000"/>
      <name val="Arial Narrow"/>
      <family val="2"/>
    </font>
    <font>
      <b/>
      <sz val="14"/>
      <color rgb="FF00B050"/>
      <name val="Calibri"/>
      <family val="2"/>
      <scheme val="minor"/>
    </font>
    <font>
      <b/>
      <sz val="14"/>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164" fontId="59" fillId="0" borderId="0" applyFont="0" applyFill="0" applyBorder="0" applyAlignment="0" applyProtection="0"/>
    <xf numFmtId="165" fontId="59"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cellStyleXfs>
  <cellXfs count="1350">
    <xf numFmtId="0" fontId="0" fillId="0" borderId="0" xfId="0"/>
    <xf numFmtId="0" fontId="0" fillId="0" borderId="0" xfId="0" applyAlignment="1">
      <alignment horizontal="center"/>
    </xf>
    <xf numFmtId="2" fontId="0" fillId="0" borderId="0" xfId="0" applyNumberFormat="1" applyAlignment="1">
      <alignment horizontal="center"/>
    </xf>
    <xf numFmtId="0" fontId="4" fillId="0" borderId="0" xfId="0" applyFont="1" applyFill="1" applyAlignment="1">
      <alignment horizontal="justify" vertical="top" wrapText="1"/>
    </xf>
    <xf numFmtId="0" fontId="4" fillId="0" borderId="0" xfId="0" applyFont="1" applyFill="1" applyAlignment="1">
      <alignment horizontal="center"/>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3" fillId="0" borderId="0" xfId="0" applyFont="1" applyAlignment="1">
      <alignment horizontal="justify" vertical="top" wrapText="1"/>
    </xf>
    <xf numFmtId="0" fontId="4" fillId="0" borderId="0" xfId="0" applyFont="1" applyAlignment="1">
      <alignment horizontal="center"/>
    </xf>
    <xf numFmtId="0" fontId="4" fillId="0" borderId="0" xfId="0" applyFont="1"/>
    <xf numFmtId="0" fontId="4" fillId="0" borderId="0" xfId="0" applyFont="1" applyAlignment="1">
      <alignment horizontal="center" vertical="top" wrapText="1"/>
    </xf>
    <xf numFmtId="2" fontId="4" fillId="0" borderId="0" xfId="0" applyNumberFormat="1" applyFont="1" applyAlignment="1">
      <alignment horizontal="center"/>
    </xf>
    <xf numFmtId="0" fontId="5" fillId="0" borderId="0" xfId="0" applyFont="1" applyAlignment="1">
      <alignment horizontal="center" vertical="center"/>
    </xf>
    <xf numFmtId="0" fontId="3" fillId="0" borderId="0" xfId="0" applyFont="1" applyAlignment="1">
      <alignment horizontal="justify" vertical="center" wrapText="1"/>
    </xf>
    <xf numFmtId="2" fontId="3" fillId="0" borderId="0" xfId="0" applyNumberFormat="1" applyFont="1" applyAlignment="1">
      <alignment horizontal="center" vertical="center"/>
    </xf>
    <xf numFmtId="0" fontId="3" fillId="0" borderId="0" xfId="0" applyFont="1" applyFill="1" applyAlignment="1">
      <alignment horizontal="justify" vertical="top" wrapText="1"/>
    </xf>
    <xf numFmtId="2" fontId="4" fillId="0" borderId="0" xfId="0" applyNumberFormat="1" applyFont="1" applyFill="1" applyAlignment="1">
      <alignment horizontal="center"/>
    </xf>
    <xf numFmtId="0" fontId="2" fillId="0" borderId="0" xfId="0" applyFont="1"/>
    <xf numFmtId="2" fontId="4" fillId="0" borderId="0" xfId="0" applyNumberFormat="1" applyFont="1"/>
    <xf numFmtId="0" fontId="4" fillId="0" borderId="0" xfId="0" applyFont="1" applyFill="1" applyAlignment="1">
      <alignment horizontal="justify" wrapText="1"/>
    </xf>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wrapText="1"/>
    </xf>
    <xf numFmtId="2" fontId="4" fillId="0" borderId="0" xfId="0" applyNumberFormat="1" applyFont="1" applyFill="1" applyAlignment="1">
      <alignment horizontal="center" wrapText="1"/>
    </xf>
    <xf numFmtId="2" fontId="4" fillId="0" borderId="0" xfId="0" applyNumberFormat="1" applyFont="1" applyFill="1" applyAlignment="1">
      <alignment horizontal="center" vertical="top" wrapText="1"/>
    </xf>
    <xf numFmtId="2" fontId="2" fillId="0" borderId="0" xfId="0" applyNumberFormat="1" applyFont="1" applyFill="1" applyAlignment="1">
      <alignment horizontal="center" wrapText="1"/>
    </xf>
    <xf numFmtId="2" fontId="5" fillId="0" borderId="0" xfId="0" applyNumberFormat="1" applyFont="1" applyAlignment="1">
      <alignment horizontal="center" vertical="center"/>
    </xf>
    <xf numFmtId="2" fontId="0" fillId="0" borderId="0" xfId="0" applyNumberFormat="1"/>
    <xf numFmtId="0" fontId="5" fillId="0" borderId="0" xfId="0" applyFont="1" applyAlignment="1">
      <alignment vertical="center"/>
    </xf>
    <xf numFmtId="0" fontId="3" fillId="0" borderId="0" xfId="0" applyFont="1" applyAlignment="1">
      <alignment vertical="center"/>
    </xf>
    <xf numFmtId="0" fontId="4" fillId="0" borderId="0" xfId="0" applyFont="1" applyFill="1" applyAlignment="1">
      <alignment vertical="top" wrapText="1"/>
    </xf>
    <xf numFmtId="2" fontId="4" fillId="0" borderId="0" xfId="0" applyNumberFormat="1" applyFont="1" applyFill="1" applyAlignment="1">
      <alignment wrapText="1"/>
    </xf>
    <xf numFmtId="0" fontId="4" fillId="0" borderId="0" xfId="0" applyFont="1" applyFill="1" applyAlignment="1">
      <alignment horizontal="left" vertical="top" wrapText="1"/>
    </xf>
    <xf numFmtId="0" fontId="4" fillId="0" borderId="0" xfId="0" quotePrefix="1" applyFont="1" applyFill="1"/>
    <xf numFmtId="1" fontId="4" fillId="0" borderId="0" xfId="0" applyNumberFormat="1" applyFont="1" applyFill="1" applyAlignment="1">
      <alignment horizontal="center" wrapText="1"/>
    </xf>
    <xf numFmtId="4" fontId="3" fillId="0" borderId="0" xfId="0" applyNumberFormat="1" applyFont="1" applyAlignment="1">
      <alignment horizontal="center" vertical="center"/>
    </xf>
    <xf numFmtId="0" fontId="2" fillId="0" borderId="0" xfId="0" applyFont="1" applyFill="1"/>
    <xf numFmtId="2" fontId="2" fillId="0" borderId="1" xfId="0" applyNumberFormat="1" applyFont="1" applyFill="1" applyBorder="1" applyAlignment="1">
      <alignment horizontal="center"/>
    </xf>
    <xf numFmtId="0" fontId="3" fillId="0" borderId="0" xfId="0" applyFont="1" applyAlignment="1">
      <alignment horizontal="center"/>
    </xf>
    <xf numFmtId="9" fontId="4" fillId="0" borderId="0" xfId="0" applyNumberFormat="1" applyFont="1" applyFill="1"/>
    <xf numFmtId="0" fontId="2" fillId="0" borderId="2" xfId="0" applyFont="1" applyBorder="1" applyAlignment="1">
      <alignment horizontal="center"/>
    </xf>
    <xf numFmtId="0" fontId="2" fillId="0" borderId="1" xfId="0" applyFont="1" applyBorder="1" applyAlignment="1">
      <alignment horizontal="center" wrapText="1"/>
    </xf>
    <xf numFmtId="2" fontId="3" fillId="0" borderId="0" xfId="0" applyNumberFormat="1" applyFont="1" applyAlignment="1">
      <alignment vertical="center"/>
    </xf>
    <xf numFmtId="2" fontId="5" fillId="0" borderId="0" xfId="0" applyNumberFormat="1" applyFont="1" applyAlignment="1">
      <alignment vertical="center"/>
    </xf>
    <xf numFmtId="0" fontId="0" fillId="0" borderId="0" xfId="0" applyFill="1" applyAlignment="1">
      <alignment vertical="top" wrapText="1"/>
    </xf>
    <xf numFmtId="0" fontId="5" fillId="0" borderId="0" xfId="0" applyFont="1" applyFill="1" applyAlignment="1">
      <alignment vertical="center"/>
    </xf>
    <xf numFmtId="2" fontId="2" fillId="0" borderId="1" xfId="0" applyNumberFormat="1" applyFont="1" applyBorder="1" applyAlignment="1">
      <alignment horizontal="center"/>
    </xf>
    <xf numFmtId="2" fontId="2" fillId="0" borderId="3" xfId="0" applyNumberFormat="1" applyFont="1" applyBorder="1" applyAlignment="1">
      <alignment horizontal="center"/>
    </xf>
    <xf numFmtId="2" fontId="4" fillId="0" borderId="0" xfId="0" applyNumberFormat="1" applyFont="1" applyFill="1" applyAlignment="1">
      <alignment horizontal="center" vertical="center"/>
    </xf>
    <xf numFmtId="2" fontId="4" fillId="0" borderId="0" xfId="0" applyNumberFormat="1" applyFont="1" applyFill="1" applyAlignment="1">
      <alignment horizontal="right"/>
    </xf>
    <xf numFmtId="2" fontId="4" fillId="0" borderId="0" xfId="0" applyNumberFormat="1" applyFont="1" applyFill="1"/>
    <xf numFmtId="2" fontId="2" fillId="0" borderId="0" xfId="0" applyNumberFormat="1" applyFont="1" applyAlignment="1">
      <alignment horizontal="center"/>
    </xf>
    <xf numFmtId="2" fontId="4" fillId="0" borderId="0" xfId="0" applyNumberFormat="1" applyFont="1" applyFill="1" applyAlignment="1">
      <alignment horizontal="justify" vertical="top" wrapText="1"/>
    </xf>
    <xf numFmtId="0" fontId="4" fillId="0" borderId="0" xfId="0" applyFont="1" applyFill="1" applyAlignment="1">
      <alignment horizontal="center" vertical="center"/>
    </xf>
    <xf numFmtId="2" fontId="4" fillId="0" borderId="0" xfId="0" applyNumberFormat="1" applyFont="1" applyBorder="1" applyAlignment="1">
      <alignment horizontal="center"/>
    </xf>
    <xf numFmtId="0" fontId="4" fillId="0" borderId="0" xfId="0" applyFont="1" applyFill="1" applyBorder="1" applyAlignment="1">
      <alignment horizontal="center" vertical="center"/>
    </xf>
    <xf numFmtId="168" fontId="4" fillId="0" borderId="0" xfId="0" applyNumberFormat="1" applyFont="1" applyFill="1" applyBorder="1" applyAlignment="1">
      <alignment horizontal="center" vertical="center"/>
    </xf>
    <xf numFmtId="168" fontId="4" fillId="0" borderId="0" xfId="0" applyNumberFormat="1" applyFont="1" applyFill="1" applyAlignment="1">
      <alignment horizontal="center"/>
    </xf>
    <xf numFmtId="168" fontId="2" fillId="0" borderId="0" xfId="0" applyNumberFormat="1" applyFont="1" applyFill="1" applyAlignment="1">
      <alignment horizontal="center"/>
    </xf>
    <xf numFmtId="4" fontId="4" fillId="0" borderId="0" xfId="0" applyNumberFormat="1" applyFont="1" applyFill="1" applyAlignment="1">
      <alignment horizontal="center"/>
    </xf>
    <xf numFmtId="0" fontId="3" fillId="0" borderId="0" xfId="0" applyFont="1" applyFill="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horizontal="justify" vertical="center" wrapText="1"/>
    </xf>
    <xf numFmtId="0" fontId="3" fillId="0" borderId="0" xfId="0" applyFont="1" applyFill="1" applyAlignment="1">
      <alignment vertical="center"/>
    </xf>
    <xf numFmtId="0" fontId="9" fillId="0" borderId="0" xfId="0" quotePrefix="1" applyFont="1" applyAlignment="1" applyProtection="1">
      <alignment horizontal="center" vertical="top"/>
      <protection hidden="1"/>
    </xf>
    <xf numFmtId="0" fontId="9" fillId="0" borderId="0" xfId="0" applyFont="1" applyAlignment="1" applyProtection="1">
      <alignment horizontal="justify" vertical="top" wrapText="1"/>
      <protection hidden="1"/>
    </xf>
    <xf numFmtId="0" fontId="0" fillId="0" borderId="0" xfId="0" applyAlignment="1" applyProtection="1">
      <alignment vertical="top" wrapText="1"/>
      <protection hidden="1"/>
    </xf>
    <xf numFmtId="0" fontId="9" fillId="0" borderId="0" xfId="0" applyFont="1" applyProtection="1">
      <protection hidden="1"/>
    </xf>
    <xf numFmtId="0" fontId="10" fillId="0" borderId="0" xfId="0" applyFont="1" applyAlignment="1" applyProtection="1">
      <alignment horizontal="center" vertical="top"/>
      <protection hidden="1"/>
    </xf>
    <xf numFmtId="0" fontId="9" fillId="0" borderId="0" xfId="0" applyFont="1" applyAlignment="1" applyProtection="1">
      <alignment horizontal="right" vertical="top"/>
      <protection hidden="1"/>
    </xf>
    <xf numFmtId="2" fontId="9" fillId="0" borderId="0" xfId="0" applyNumberFormat="1" applyFont="1" applyAlignment="1" applyProtection="1">
      <alignment horizontal="right" vertical="top"/>
      <protection hidden="1"/>
    </xf>
    <xf numFmtId="0" fontId="9" fillId="0" borderId="0" xfId="0" quotePrefix="1" applyFont="1" applyAlignment="1" applyProtection="1">
      <alignmen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vertical="top" wrapText="1"/>
      <protection hidden="1"/>
    </xf>
    <xf numFmtId="0" fontId="9" fillId="0" borderId="0" xfId="0" applyFont="1" applyAlignment="1" applyProtection="1">
      <alignment horizontal="left" vertical="top"/>
      <protection hidden="1"/>
    </xf>
    <xf numFmtId="0" fontId="9" fillId="0" borderId="0" xfId="0" applyFont="1" applyAlignment="1" applyProtection="1">
      <alignment vertical="top"/>
      <protection hidden="1"/>
    </xf>
    <xf numFmtId="0" fontId="9" fillId="0" borderId="0" xfId="0" applyFont="1" applyAlignment="1" applyProtection="1">
      <alignment horizontal="left" vertical="top" wrapText="1"/>
      <protection hidden="1"/>
    </xf>
    <xf numFmtId="168" fontId="9" fillId="0" borderId="0" xfId="0" applyNumberFormat="1" applyFont="1" applyAlignment="1" applyProtection="1">
      <alignment vertical="top"/>
      <protection hidden="1"/>
    </xf>
    <xf numFmtId="168" fontId="11" fillId="0" borderId="0" xfId="0" applyNumberFormat="1" applyFont="1" applyAlignment="1" applyProtection="1">
      <alignment vertical="top"/>
      <protection hidden="1"/>
    </xf>
    <xf numFmtId="0" fontId="9" fillId="0" borderId="0" xfId="0" applyFont="1" applyBorder="1" applyAlignment="1" applyProtection="1">
      <alignment horizontal="left" vertical="top"/>
      <protection hidden="1"/>
    </xf>
    <xf numFmtId="168" fontId="11" fillId="0" borderId="0" xfId="0" applyNumberFormat="1" applyFont="1" applyBorder="1" applyAlignment="1" applyProtection="1">
      <alignment vertical="top"/>
      <protection hidden="1"/>
    </xf>
    <xf numFmtId="168" fontId="11" fillId="0" borderId="4" xfId="0" applyNumberFormat="1" applyFont="1" applyBorder="1" applyAlignment="1" applyProtection="1">
      <alignment vertical="top"/>
      <protection hidden="1"/>
    </xf>
    <xf numFmtId="0" fontId="9" fillId="0" borderId="0" xfId="0" applyFont="1" applyAlignment="1" applyProtection="1">
      <alignment horizontal="right" vertical="top" wrapText="1"/>
      <protection hidden="1"/>
    </xf>
    <xf numFmtId="9" fontId="9" fillId="0" borderId="0" xfId="0" applyNumberFormat="1" applyFont="1" applyAlignment="1" applyProtection="1">
      <alignment vertical="top"/>
      <protection hidden="1"/>
    </xf>
    <xf numFmtId="2" fontId="9" fillId="0" borderId="0" xfId="0" applyNumberFormat="1" applyFont="1" applyFill="1" applyAlignment="1" applyProtection="1">
      <alignment vertical="top"/>
      <protection hidden="1"/>
    </xf>
    <xf numFmtId="2" fontId="9" fillId="0" borderId="0" xfId="0" applyNumberFormat="1" applyFont="1" applyBorder="1" applyAlignment="1" applyProtection="1">
      <alignment horizontal="right" vertical="top"/>
      <protection hidden="1"/>
    </xf>
    <xf numFmtId="2" fontId="9" fillId="0" borderId="4" xfId="0" applyNumberFormat="1" applyFont="1" applyBorder="1" applyAlignment="1" applyProtection="1">
      <alignment horizontal="right" vertical="top"/>
      <protection hidden="1"/>
    </xf>
    <xf numFmtId="2" fontId="9" fillId="0" borderId="0" xfId="0" applyNumberFormat="1" applyFont="1" applyAlignment="1" applyProtection="1">
      <alignment horizontal="right" vertical="top" wrapText="1"/>
      <protection hidden="1"/>
    </xf>
    <xf numFmtId="2" fontId="9" fillId="0" borderId="0" xfId="0" applyNumberFormat="1" applyFont="1" applyAlignment="1" applyProtection="1">
      <alignment vertical="top"/>
      <protection hidden="1"/>
    </xf>
    <xf numFmtId="2" fontId="11" fillId="0" borderId="0" xfId="0" applyNumberFormat="1" applyFont="1" applyAlignment="1" applyProtection="1">
      <alignment vertical="top"/>
      <protection hidden="1"/>
    </xf>
    <xf numFmtId="0" fontId="10" fillId="0" borderId="0" xfId="0" applyFont="1" applyAlignment="1" applyProtection="1">
      <alignment vertical="top" wrapText="1"/>
      <protection hidden="1"/>
    </xf>
    <xf numFmtId="2" fontId="9" fillId="0" borderId="4" xfId="0" applyNumberFormat="1" applyFont="1" applyBorder="1" applyAlignment="1" applyProtection="1">
      <alignment vertical="top"/>
      <protection hidden="1"/>
    </xf>
    <xf numFmtId="0" fontId="12" fillId="0" borderId="0" xfId="0" applyFont="1" applyAlignment="1" applyProtection="1">
      <alignment vertical="top" wrapText="1"/>
      <protection hidden="1"/>
    </xf>
    <xf numFmtId="2" fontId="12" fillId="0" borderId="0" xfId="0" applyNumberFormat="1" applyFont="1" applyAlignment="1" applyProtection="1">
      <alignment vertical="top"/>
      <protection hidden="1"/>
    </xf>
    <xf numFmtId="0" fontId="13" fillId="0" borderId="0" xfId="0" applyFont="1" applyAlignment="1" applyProtection="1">
      <alignment vertical="top" wrapText="1"/>
      <protection hidden="1"/>
    </xf>
    <xf numFmtId="2" fontId="3" fillId="0" borderId="0" xfId="0" applyNumberFormat="1" applyFont="1" applyFill="1" applyAlignment="1">
      <alignment horizontal="center"/>
    </xf>
    <xf numFmtId="2" fontId="3" fillId="0" borderId="0" xfId="0" applyNumberFormat="1" applyFont="1" applyFill="1" applyAlignment="1">
      <alignment horizontal="center" wrapText="1"/>
    </xf>
    <xf numFmtId="0" fontId="3" fillId="0" borderId="0" xfId="0" applyFont="1" applyFill="1" applyAlignment="1">
      <alignment horizontal="center" vertical="top" wrapText="1"/>
    </xf>
    <xf numFmtId="0" fontId="5" fillId="0" borderId="0" xfId="0" applyFont="1" applyFill="1" applyAlignment="1">
      <alignment horizontal="justify" vertical="top" wrapText="1"/>
    </xf>
    <xf numFmtId="0" fontId="4" fillId="0" borderId="0" xfId="0" applyFont="1" applyFill="1" applyBorder="1" applyAlignment="1">
      <alignment horizontal="center"/>
    </xf>
    <xf numFmtId="0" fontId="2" fillId="0" borderId="0" xfId="0" applyFont="1" applyFill="1" applyBorder="1" applyAlignment="1">
      <alignment horizontal="center" vertical="top"/>
    </xf>
    <xf numFmtId="2" fontId="4" fillId="0" borderId="0" xfId="0" applyNumberFormat="1" applyFont="1" applyFill="1" applyBorder="1" applyAlignment="1">
      <alignment horizontal="center"/>
    </xf>
    <xf numFmtId="0" fontId="2" fillId="0" borderId="0" xfId="0" applyFont="1" applyAlignment="1">
      <alignment horizontal="center"/>
    </xf>
    <xf numFmtId="0" fontId="70" fillId="0" borderId="0" xfId="0" applyFont="1" applyAlignment="1">
      <alignment horizontal="center"/>
    </xf>
    <xf numFmtId="0" fontId="70" fillId="0" borderId="0" xfId="0" applyFont="1" applyBorder="1" applyAlignment="1">
      <alignment horizontal="center"/>
    </xf>
    <xf numFmtId="0" fontId="70" fillId="0" borderId="0" xfId="0" applyFont="1"/>
    <xf numFmtId="168" fontId="0" fillId="0" borderId="0" xfId="0" applyNumberFormat="1" applyAlignment="1">
      <alignment horizontal="center"/>
    </xf>
    <xf numFmtId="0" fontId="0" fillId="0" borderId="0" xfId="0" applyAlignment="1">
      <alignment horizontal="center" vertical="center"/>
    </xf>
    <xf numFmtId="2" fontId="70" fillId="0" borderId="5" xfId="0" applyNumberFormat="1" applyFont="1" applyBorder="1" applyAlignment="1">
      <alignment horizontal="center"/>
    </xf>
    <xf numFmtId="2" fontId="71" fillId="0" borderId="0" xfId="0" applyNumberFormat="1" applyFont="1" applyAlignment="1">
      <alignment horizontal="center" vertical="center"/>
    </xf>
    <xf numFmtId="0" fontId="70" fillId="0" borderId="0" xfId="0" applyFont="1" applyAlignment="1"/>
    <xf numFmtId="2" fontId="0" fillId="0" borderId="4" xfId="0" applyNumberFormat="1" applyBorder="1" applyAlignment="1">
      <alignment horizontal="center"/>
    </xf>
    <xf numFmtId="0" fontId="0" fillId="0" borderId="0" xfId="0" applyFill="1" applyBorder="1" applyAlignment="1">
      <alignment horizontal="center" vertical="center"/>
    </xf>
    <xf numFmtId="0" fontId="0" fillId="0" borderId="4" xfId="0" applyBorder="1" applyAlignment="1">
      <alignment horizontal="center" vertical="center"/>
    </xf>
    <xf numFmtId="2" fontId="0" fillId="0" borderId="0" xfId="0" applyNumberFormat="1" applyAlignment="1">
      <alignment horizontal="center" vertical="center"/>
    </xf>
    <xf numFmtId="168" fontId="4" fillId="0" borderId="0" xfId="0" applyNumberFormat="1" applyFont="1" applyFill="1"/>
    <xf numFmtId="2" fontId="0" fillId="0" borderId="0" xfId="0" applyNumberFormat="1" applyBorder="1" applyAlignment="1">
      <alignment horizontal="center"/>
    </xf>
    <xf numFmtId="2" fontId="70" fillId="0" borderId="0" xfId="0" applyNumberFormat="1" applyFont="1" applyBorder="1" applyAlignment="1">
      <alignment horizontal="center"/>
    </xf>
    <xf numFmtId="0" fontId="2" fillId="0" borderId="0" xfId="0" applyFont="1" applyAlignment="1">
      <alignment horizontal="center" vertical="center"/>
    </xf>
    <xf numFmtId="2" fontId="0" fillId="0" borderId="0" xfId="0" applyNumberFormat="1" applyFill="1" applyAlignment="1">
      <alignment horizontal="center"/>
    </xf>
    <xf numFmtId="0" fontId="0" fillId="0" borderId="0" xfId="0" applyFill="1" applyAlignment="1">
      <alignment horizont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pplyProtection="1">
      <alignment horizontal="justify" vertical="top" wrapText="1"/>
      <protection hidden="1"/>
    </xf>
    <xf numFmtId="0" fontId="2" fillId="0" borderId="0" xfId="0" applyFont="1" applyFill="1" applyAlignment="1">
      <alignment horizontal="center" vertical="top" wrapText="1"/>
    </xf>
    <xf numFmtId="0" fontId="2" fillId="0" borderId="0" xfId="0" applyFont="1" applyFill="1" applyAlignment="1">
      <alignment horizontal="justify" vertical="top" wrapText="1"/>
    </xf>
    <xf numFmtId="2" fontId="4" fillId="0" borderId="5" xfId="0" applyNumberFormat="1" applyFont="1" applyFill="1" applyBorder="1" applyAlignment="1">
      <alignment horizontal="center"/>
    </xf>
    <xf numFmtId="0" fontId="2" fillId="0" borderId="0" xfId="0" applyFont="1" applyFill="1" applyAlignment="1">
      <alignment vertical="center"/>
    </xf>
    <xf numFmtId="2" fontId="2" fillId="0" borderId="0" xfId="0" applyNumberFormat="1" applyFont="1" applyFill="1" applyAlignment="1">
      <alignment vertical="center"/>
    </xf>
    <xf numFmtId="0" fontId="2" fillId="0" borderId="0" xfId="0" applyFont="1" applyFill="1" applyAlignment="1">
      <alignment horizontal="center" vertical="top"/>
    </xf>
    <xf numFmtId="168" fontId="3" fillId="0" borderId="0" xfId="0" applyNumberFormat="1"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justify" wrapText="1"/>
    </xf>
    <xf numFmtId="0" fontId="2" fillId="0" borderId="0" xfId="0" applyFont="1" applyFill="1" applyBorder="1" applyAlignment="1">
      <alignment vertical="top" wrapText="1"/>
    </xf>
    <xf numFmtId="0" fontId="3" fillId="0" borderId="0" xfId="0" applyFont="1" applyFill="1" applyAlignment="1">
      <alignment horizontal="center"/>
    </xf>
    <xf numFmtId="4" fontId="2" fillId="0" borderId="0" xfId="0" applyNumberFormat="1" applyFont="1" applyFill="1" applyAlignment="1">
      <alignment horizontal="center"/>
    </xf>
    <xf numFmtId="2" fontId="2" fillId="0" borderId="0" xfId="0" applyNumberFormat="1" applyFont="1" applyFill="1" applyAlignment="1">
      <alignment horizontal="center"/>
    </xf>
    <xf numFmtId="2" fontId="4" fillId="0" borderId="0" xfId="0" quotePrefix="1" applyNumberFormat="1" applyFont="1" applyFill="1" applyAlignment="1">
      <alignment horizontal="center"/>
    </xf>
    <xf numFmtId="4" fontId="4" fillId="0" borderId="0" xfId="0" applyNumberFormat="1"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justify"/>
    </xf>
    <xf numFmtId="0" fontId="17" fillId="0" borderId="0" xfId="0" applyFont="1" applyFill="1" applyBorder="1" applyAlignment="1">
      <alignment horizontal="center" vertical="top"/>
    </xf>
    <xf numFmtId="0" fontId="17" fillId="0" borderId="0" xfId="0" applyFont="1" applyFill="1" applyAlignment="1">
      <alignment horizontal="justify" vertical="justify"/>
    </xf>
    <xf numFmtId="0" fontId="19" fillId="0" borderId="0" xfId="0" applyFont="1" applyFill="1" applyBorder="1" applyAlignment="1">
      <alignment horizontal="justify" vertical="top"/>
    </xf>
    <xf numFmtId="0" fontId="0" fillId="0" borderId="0" xfId="0" applyFont="1" applyAlignment="1">
      <alignment horizontal="center"/>
    </xf>
    <xf numFmtId="0" fontId="0" fillId="0" borderId="0" xfId="0" applyFill="1"/>
    <xf numFmtId="0" fontId="4" fillId="0" borderId="0" xfId="0" applyFont="1" applyAlignment="1">
      <alignment horizontal="center" vertical="center"/>
    </xf>
    <xf numFmtId="2" fontId="2" fillId="0" borderId="0" xfId="0" applyNumberFormat="1" applyFont="1" applyAlignment="1">
      <alignment horizontal="center" vertical="center"/>
    </xf>
    <xf numFmtId="2" fontId="0" fillId="0" borderId="4" xfId="0" applyNumberFormat="1" applyBorder="1" applyAlignment="1">
      <alignment horizontal="center" vertical="center"/>
    </xf>
    <xf numFmtId="2" fontId="69" fillId="0" borderId="0" xfId="0" applyNumberFormat="1" applyFont="1" applyBorder="1" applyAlignment="1">
      <alignment horizontal="center"/>
    </xf>
    <xf numFmtId="2" fontId="69" fillId="0" borderId="4" xfId="0" applyNumberFormat="1" applyFont="1" applyBorder="1" applyAlignment="1">
      <alignment horizontal="center"/>
    </xf>
    <xf numFmtId="2" fontId="72" fillId="0" borderId="0" xfId="0" applyNumberFormat="1" applyFont="1" applyBorder="1" applyAlignment="1">
      <alignment horizontal="center"/>
    </xf>
    <xf numFmtId="0" fontId="4" fillId="0" borderId="0" xfId="0" applyFont="1" applyFill="1" applyBorder="1" applyAlignment="1">
      <alignment horizontal="justify" vertical="top" wrapText="1"/>
    </xf>
    <xf numFmtId="0" fontId="4" fillId="0" borderId="0" xfId="0" applyFont="1" applyFill="1" applyBorder="1" applyAlignment="1">
      <alignment horizontal="center" vertical="top"/>
    </xf>
    <xf numFmtId="167" fontId="0" fillId="0" borderId="0" xfId="0" applyNumberFormat="1" applyAlignment="1">
      <alignment horizontal="center"/>
    </xf>
    <xf numFmtId="2" fontId="0" fillId="0" borderId="4" xfId="0" applyNumberFormat="1" applyFill="1" applyBorder="1" applyAlignment="1">
      <alignment horizontal="center" vertical="center"/>
    </xf>
    <xf numFmtId="0" fontId="4" fillId="0" borderId="0" xfId="0" applyFont="1" applyAlignment="1"/>
    <xf numFmtId="0" fontId="2" fillId="0" borderId="6" xfId="0" applyFont="1" applyFill="1" applyBorder="1" applyAlignment="1">
      <alignment horizontal="center"/>
    </xf>
    <xf numFmtId="0" fontId="2" fillId="0" borderId="6" xfId="0" applyFont="1" applyFill="1" applyBorder="1" applyAlignment="1">
      <alignment horizontal="center" wrapText="1"/>
    </xf>
    <xf numFmtId="2" fontId="2" fillId="0" borderId="6" xfId="0" applyNumberFormat="1"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left"/>
    </xf>
    <xf numFmtId="0" fontId="2" fillId="0" borderId="0" xfId="0" applyFont="1" applyFill="1" applyBorder="1" applyAlignment="1">
      <alignment horizontal="center" vertical="center" wrapText="1"/>
    </xf>
    <xf numFmtId="0" fontId="0" fillId="0" borderId="0" xfId="0" applyFill="1" applyBorder="1" applyAlignment="1">
      <alignment horizontal="center" vertical="top" wrapText="1"/>
    </xf>
    <xf numFmtId="0" fontId="0" fillId="0" borderId="0" xfId="0" applyBorder="1" applyAlignment="1">
      <alignment horizontal="center"/>
    </xf>
    <xf numFmtId="0" fontId="0" fillId="0" borderId="0" xfId="0" applyBorder="1" applyAlignment="1">
      <alignment horizontal="center" vertical="top"/>
    </xf>
    <xf numFmtId="0" fontId="4" fillId="0" borderId="0" xfId="0" applyFont="1" applyFill="1" applyBorder="1"/>
    <xf numFmtId="0" fontId="0" fillId="0" borderId="0" xfId="0" applyFill="1" applyBorder="1" applyAlignment="1">
      <alignment vertical="top" wrapText="1"/>
    </xf>
    <xf numFmtId="2" fontId="0" fillId="0" borderId="0" xfId="0" applyNumberFormat="1" applyFill="1" applyBorder="1" applyAlignment="1">
      <alignment horizontal="center"/>
    </xf>
    <xf numFmtId="0" fontId="4" fillId="0" borderId="0" xfId="0" applyFont="1" applyFill="1" applyBorder="1" applyAlignment="1">
      <alignment horizontal="center" vertical="top" wrapText="1"/>
    </xf>
    <xf numFmtId="167" fontId="0" fillId="0" borderId="0" xfId="0" applyNumberFormat="1" applyFill="1" applyBorder="1" applyAlignment="1">
      <alignment horizontal="center"/>
    </xf>
    <xf numFmtId="0" fontId="0" fillId="0" borderId="0" xfId="0" applyFill="1" applyBorder="1" applyAlignment="1">
      <alignment horizontal="right"/>
    </xf>
    <xf numFmtId="0" fontId="73"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Fill="1" applyAlignment="1">
      <alignment vertical="top"/>
    </xf>
    <xf numFmtId="2" fontId="4" fillId="0" borderId="0" xfId="0" applyNumberFormat="1" applyFont="1" applyFill="1" applyBorder="1" applyAlignment="1">
      <alignment horizontal="center" wrapText="1"/>
    </xf>
    <xf numFmtId="0" fontId="4" fillId="0" borderId="0" xfId="0" applyNumberFormat="1" applyFont="1" applyFill="1" applyBorder="1" applyAlignment="1">
      <alignment horizontal="justify" vertical="top" wrapText="1"/>
    </xf>
    <xf numFmtId="2" fontId="73" fillId="0" borderId="0" xfId="0" applyNumberFormat="1" applyFont="1" applyFill="1" applyBorder="1" applyAlignment="1">
      <alignment horizontal="center"/>
    </xf>
    <xf numFmtId="0" fontId="4" fillId="0" borderId="0" xfId="0" applyFont="1" applyAlignment="1" applyProtection="1">
      <alignment vertical="top" wrapText="1"/>
      <protection hidden="1"/>
    </xf>
    <xf numFmtId="2"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4" fillId="0" borderId="0" xfId="0" applyFont="1" applyFill="1" applyBorder="1" applyAlignment="1" applyProtection="1">
      <alignment horizontal="left" vertical="top" wrapText="1" indent="2"/>
      <protection hidden="1"/>
    </xf>
    <xf numFmtId="0" fontId="2" fillId="0" borderId="0" xfId="0" applyFont="1" applyFill="1" applyBorder="1" applyAlignment="1" applyProtection="1">
      <alignment horizontal="left" vertical="top" wrapText="1" indent="2"/>
      <protection hidden="1"/>
    </xf>
    <xf numFmtId="0" fontId="4" fillId="0" borderId="0" xfId="0" applyNumberFormat="1" applyFont="1" applyFill="1" applyAlignment="1">
      <alignment horizontal="justify" vertical="justify" wrapText="1"/>
    </xf>
    <xf numFmtId="0" fontId="5" fillId="0" borderId="0" xfId="0" applyFont="1" applyFill="1" applyAlignment="1">
      <alignment horizontal="justify" vertical="center" wrapText="1"/>
    </xf>
    <xf numFmtId="2" fontId="4" fillId="0" borderId="0" xfId="0" applyNumberFormat="1" applyFont="1" applyAlignment="1">
      <alignment horizontal="center" vertical="center"/>
    </xf>
    <xf numFmtId="0" fontId="2" fillId="0" borderId="0" xfId="0" applyFont="1" applyBorder="1" applyAlignment="1">
      <alignment horizontal="center" vertical="center"/>
    </xf>
    <xf numFmtId="0" fontId="4" fillId="0" borderId="0" xfId="0" applyFont="1" applyBorder="1"/>
    <xf numFmtId="0" fontId="0" fillId="0" borderId="0" xfId="0" applyAlignment="1">
      <alignment horizontal="left" vertical="center"/>
    </xf>
    <xf numFmtId="0" fontId="71" fillId="0" borderId="0" xfId="0" applyFont="1" applyAlignment="1">
      <alignment horizontal="center"/>
    </xf>
    <xf numFmtId="0" fontId="4" fillId="0" borderId="0" xfId="0" applyFont="1" applyBorder="1" applyAlignment="1">
      <alignment horizontal="center" wrapText="1"/>
    </xf>
    <xf numFmtId="0" fontId="4" fillId="0" borderId="0" xfId="0" applyFont="1" applyBorder="1" applyAlignment="1">
      <alignment wrapText="1"/>
    </xf>
    <xf numFmtId="169" fontId="4" fillId="0" borderId="0" xfId="0" applyNumberFormat="1" applyFont="1" applyBorder="1" applyAlignment="1">
      <alignment wrapText="1"/>
    </xf>
    <xf numFmtId="0" fontId="74" fillId="0" borderId="0" xfId="0" applyFont="1" applyBorder="1" applyAlignment="1">
      <alignment vertical="center" wrapText="1"/>
    </xf>
    <xf numFmtId="0" fontId="4" fillId="0" borderId="0" xfId="0" applyFont="1" applyFill="1" applyBorder="1" applyAlignment="1">
      <alignment wrapText="1"/>
    </xf>
    <xf numFmtId="9" fontId="4" fillId="0" borderId="0" xfId="0" applyNumberFormat="1" applyFont="1" applyBorder="1" applyAlignment="1">
      <alignment horizontal="center" wrapText="1"/>
    </xf>
    <xf numFmtId="0" fontId="33" fillId="0" borderId="0" xfId="4" applyFont="1" applyFill="1" applyBorder="1" applyAlignment="1" applyProtection="1">
      <alignment wrapText="1"/>
    </xf>
    <xf numFmtId="10" fontId="4" fillId="0" borderId="0" xfId="0" applyNumberFormat="1" applyFont="1" applyBorder="1" applyAlignment="1">
      <alignment horizontal="center" wrapText="1"/>
    </xf>
    <xf numFmtId="0" fontId="4" fillId="0" borderId="0" xfId="0" applyFont="1" applyBorder="1" applyAlignment="1">
      <alignment horizontal="left" vertical="center" wrapText="1"/>
    </xf>
    <xf numFmtId="2" fontId="4" fillId="0" borderId="0" xfId="0" applyNumberFormat="1" applyFont="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72" fillId="0" borderId="0" xfId="0" applyFont="1" applyFill="1" applyBorder="1" applyAlignment="1">
      <alignment horizontal="center"/>
    </xf>
    <xf numFmtId="0" fontId="0" fillId="0" borderId="0" xfId="0" applyFont="1" applyFill="1" applyAlignment="1"/>
    <xf numFmtId="2" fontId="0" fillId="0" borderId="4" xfId="0" applyNumberFormat="1" applyFill="1" applyBorder="1" applyAlignment="1">
      <alignment horizontal="center"/>
    </xf>
    <xf numFmtId="167" fontId="70" fillId="0" borderId="0" xfId="0" applyNumberFormat="1" applyFont="1" applyFill="1" applyAlignment="1">
      <alignment horizontal="center"/>
    </xf>
    <xf numFmtId="0" fontId="75" fillId="0" borderId="0" xfId="0" applyFont="1" applyAlignment="1">
      <alignment horizontal="center" vertical="center"/>
    </xf>
    <xf numFmtId="0" fontId="70" fillId="0" borderId="0" xfId="0" applyFont="1" applyFill="1" applyBorder="1"/>
    <xf numFmtId="0" fontId="70" fillId="0" borderId="4" xfId="0" applyFont="1" applyBorder="1" applyAlignment="1">
      <alignment horizontal="center"/>
    </xf>
    <xf numFmtId="0" fontId="70" fillId="0" borderId="0" xfId="0" applyFont="1" applyFill="1"/>
    <xf numFmtId="0" fontId="0" fillId="0" borderId="0" xfId="0" applyFont="1" applyFill="1" applyAlignment="1">
      <alignment horizontal="left"/>
    </xf>
    <xf numFmtId="2" fontId="70" fillId="0" borderId="0" xfId="0" applyNumberFormat="1" applyFont="1" applyFill="1" applyAlignment="1">
      <alignment horizontal="center"/>
    </xf>
    <xf numFmtId="0" fontId="70" fillId="0" borderId="0" xfId="0" applyFont="1" applyFill="1" applyAlignment="1">
      <alignment horizontal="center"/>
    </xf>
    <xf numFmtId="167" fontId="70" fillId="0" borderId="0" xfId="0" applyNumberFormat="1" applyFont="1" applyFill="1" applyBorder="1"/>
    <xf numFmtId="0" fontId="75" fillId="0" borderId="0" xfId="0" applyFont="1" applyFill="1" applyAlignment="1">
      <alignment horizontal="center" vertical="center"/>
    </xf>
    <xf numFmtId="0" fontId="72" fillId="0" borderId="0" xfId="0" applyFont="1" applyFill="1"/>
    <xf numFmtId="0" fontId="0" fillId="0" borderId="0" xfId="0" applyFill="1" applyAlignment="1"/>
    <xf numFmtId="167" fontId="0" fillId="0" borderId="0" xfId="0" applyNumberFormat="1" applyFill="1" applyAlignment="1">
      <alignment horizontal="center"/>
    </xf>
    <xf numFmtId="0" fontId="0" fillId="0" borderId="0" xfId="0" applyFont="1" applyFill="1"/>
    <xf numFmtId="2" fontId="70" fillId="0" borderId="5" xfId="0" applyNumberFormat="1" applyFont="1" applyFill="1" applyBorder="1" applyAlignment="1">
      <alignment horizontal="center"/>
    </xf>
    <xf numFmtId="0" fontId="76" fillId="0" borderId="0" xfId="0" applyFont="1" applyFill="1" applyAlignment="1"/>
    <xf numFmtId="2" fontId="0" fillId="0" borderId="0" xfId="0" applyNumberFormat="1" applyFont="1" applyFill="1" applyAlignment="1">
      <alignment horizontal="center"/>
    </xf>
    <xf numFmtId="0" fontId="34" fillId="0" borderId="0" xfId="0" applyFont="1" applyFill="1" applyAlignment="1"/>
    <xf numFmtId="0" fontId="34" fillId="0" borderId="0" xfId="0" applyFont="1" applyFill="1" applyAlignment="1">
      <alignment wrapText="1"/>
    </xf>
    <xf numFmtId="0" fontId="34" fillId="0" borderId="0" xfId="0" applyFont="1" applyFill="1" applyBorder="1" applyAlignment="1">
      <alignment horizontal="left"/>
    </xf>
    <xf numFmtId="0" fontId="34" fillId="0" borderId="0" xfId="0" applyFont="1" applyFill="1" applyAlignment="1">
      <alignment horizontal="left"/>
    </xf>
    <xf numFmtId="0" fontId="77" fillId="0" borderId="0" xfId="0" applyFont="1" applyFill="1" applyAlignment="1">
      <alignment horizontal="center" vertical="center"/>
    </xf>
    <xf numFmtId="0" fontId="72" fillId="0" borderId="0" xfId="0" applyFont="1" applyFill="1" applyAlignment="1">
      <alignment horizontal="center"/>
    </xf>
    <xf numFmtId="0" fontId="0" fillId="0" borderId="4" xfId="0" applyBorder="1" applyAlignment="1">
      <alignment horizontal="center"/>
    </xf>
    <xf numFmtId="167" fontId="0" fillId="0" borderId="4" xfId="0" applyNumberFormat="1" applyFont="1" applyBorder="1" applyAlignment="1">
      <alignment horizontal="center"/>
    </xf>
    <xf numFmtId="167" fontId="78" fillId="0" borderId="0" xfId="0" applyNumberFormat="1" applyFont="1" applyFill="1" applyBorder="1" applyAlignment="1">
      <alignment horizontal="center"/>
    </xf>
    <xf numFmtId="167" fontId="70" fillId="0" borderId="0" xfId="0" applyNumberFormat="1" applyFont="1" applyFill="1" applyBorder="1" applyAlignment="1">
      <alignment horizontal="center"/>
    </xf>
    <xf numFmtId="2" fontId="78" fillId="0" borderId="0" xfId="0" applyNumberFormat="1" applyFont="1" applyFill="1" applyBorder="1" applyAlignment="1">
      <alignment horizontal="center"/>
    </xf>
    <xf numFmtId="2" fontId="70" fillId="0" borderId="0" xfId="0" applyNumberFormat="1" applyFont="1" applyFill="1" applyBorder="1" applyAlignment="1">
      <alignment horizontal="center"/>
    </xf>
    <xf numFmtId="0" fontId="77" fillId="0" borderId="0" xfId="0" applyFont="1" applyFill="1" applyAlignment="1"/>
    <xf numFmtId="0" fontId="77" fillId="0" borderId="0" xfId="0" applyFont="1" applyFill="1" applyAlignment="1">
      <alignment horizontal="center"/>
    </xf>
    <xf numFmtId="0" fontId="16" fillId="0" borderId="0" xfId="0" applyFont="1" applyFill="1" applyBorder="1" applyAlignment="1">
      <alignment vertical="center" wrapText="1"/>
    </xf>
    <xf numFmtId="0" fontId="0" fillId="0" borderId="0" xfId="0" applyFill="1" applyBorder="1" applyAlignment="1">
      <alignment horizontal="center" vertical="top"/>
    </xf>
    <xf numFmtId="0" fontId="4" fillId="0" borderId="0" xfId="0" applyFont="1" applyBorder="1" applyAlignment="1">
      <alignment horizontal="center"/>
    </xf>
    <xf numFmtId="0" fontId="70" fillId="0" borderId="0" xfId="0" applyFont="1" applyAlignment="1">
      <alignment horizontal="center" vertical="center"/>
    </xf>
    <xf numFmtId="0" fontId="4" fillId="0" borderId="0" xfId="0" applyFont="1" applyBorder="1" applyAlignment="1">
      <alignment horizontal="justify" vertical="justify" wrapText="1"/>
    </xf>
    <xf numFmtId="0" fontId="3" fillId="0" borderId="0" xfId="0" applyFont="1" applyFill="1" applyBorder="1" applyAlignment="1">
      <alignment horizontal="justify" vertical="justify" wrapText="1"/>
    </xf>
    <xf numFmtId="2" fontId="2" fillId="0" borderId="0" xfId="0" applyNumberFormat="1" applyFont="1" applyFill="1" applyAlignment="1">
      <alignment horizontal="center" vertical="center"/>
    </xf>
    <xf numFmtId="0" fontId="2" fillId="0" borderId="0" xfId="0" applyFont="1" applyFill="1" applyBorder="1" applyAlignment="1">
      <alignment horizontal="center"/>
    </xf>
    <xf numFmtId="4" fontId="4" fillId="0" borderId="0" xfId="0" applyNumberFormat="1" applyFont="1" applyFill="1" applyBorder="1" applyAlignment="1">
      <alignment horizontal="center"/>
    </xf>
    <xf numFmtId="0" fontId="0" fillId="0" borderId="0" xfId="0" applyFill="1" applyBorder="1" applyAlignment="1">
      <alignment horizontal="center" vertical="center" wrapText="1"/>
    </xf>
    <xf numFmtId="2" fontId="0" fillId="0" borderId="0" xfId="0" applyNumberFormat="1" applyFill="1" applyBorder="1" applyAlignment="1">
      <alignment horizontal="center" vertical="center"/>
    </xf>
    <xf numFmtId="2" fontId="17" fillId="0" borderId="0" xfId="0" applyNumberFormat="1" applyFont="1" applyAlignment="1">
      <alignment horizontal="center"/>
    </xf>
    <xf numFmtId="0" fontId="0" fillId="0" borderId="0" xfId="0" applyAlignment="1">
      <alignment vertical="top" wrapText="1"/>
    </xf>
    <xf numFmtId="0" fontId="4" fillId="0" borderId="0" xfId="0" applyFont="1" applyAlignment="1">
      <alignment vertical="top" wrapText="1"/>
    </xf>
    <xf numFmtId="0" fontId="79" fillId="0" borderId="0" xfId="0" applyFont="1" applyFill="1" applyAlignment="1">
      <alignment horizontal="center" vertical="top" wrapText="1"/>
    </xf>
    <xf numFmtId="0" fontId="79" fillId="0" borderId="0" xfId="0" applyFont="1" applyFill="1" applyAlignment="1">
      <alignment vertical="top" wrapText="1"/>
    </xf>
    <xf numFmtId="0" fontId="79" fillId="0" borderId="0" xfId="0" applyFont="1" applyFill="1" applyAlignment="1">
      <alignment horizontal="center" wrapText="1"/>
    </xf>
    <xf numFmtId="2" fontId="79" fillId="0" borderId="0" xfId="0" applyNumberFormat="1" applyFont="1" applyFill="1" applyAlignment="1">
      <alignment horizontal="center" wrapText="1"/>
    </xf>
    <xf numFmtId="0" fontId="79" fillId="0" borderId="0" xfId="0" applyFont="1" applyFill="1"/>
    <xf numFmtId="0" fontId="79" fillId="0" borderId="0" xfId="0" applyFont="1" applyFill="1" applyAlignment="1">
      <alignment horizontal="justify" vertical="top" wrapText="1"/>
    </xf>
    <xf numFmtId="2" fontId="4" fillId="0" borderId="0" xfId="0" quotePrefix="1" applyNumberFormat="1" applyFont="1" applyFill="1" applyAlignment="1">
      <alignment horizontal="center" wrapText="1"/>
    </xf>
    <xf numFmtId="0" fontId="73" fillId="0" borderId="0" xfId="0" applyFont="1" applyFill="1" applyAlignment="1">
      <alignment horizontal="center" vertical="top" wrapText="1"/>
    </xf>
    <xf numFmtId="0" fontId="73" fillId="0" borderId="0" xfId="0" applyFont="1" applyFill="1"/>
    <xf numFmtId="0" fontId="74" fillId="0" borderId="0" xfId="0" applyFont="1" applyFill="1" applyAlignment="1">
      <alignment horizontal="center" vertical="top" wrapText="1"/>
    </xf>
    <xf numFmtId="0" fontId="74" fillId="0" borderId="0" xfId="0" applyFont="1" applyFill="1" applyAlignment="1">
      <alignment horizontal="justify" vertical="top" wrapText="1"/>
    </xf>
    <xf numFmtId="2" fontId="74" fillId="0" borderId="0" xfId="0" applyNumberFormat="1" applyFont="1" applyFill="1" applyAlignment="1">
      <alignment horizontal="center" wrapText="1"/>
    </xf>
    <xf numFmtId="0" fontId="74" fillId="0" borderId="0" xfId="0" applyFont="1" applyFill="1"/>
    <xf numFmtId="2" fontId="74" fillId="0" borderId="4" xfId="0" applyNumberFormat="1" applyFont="1" applyFill="1" applyBorder="1" applyAlignment="1">
      <alignment horizontal="center" wrapText="1"/>
    </xf>
    <xf numFmtId="0" fontId="74" fillId="0" borderId="0" xfId="0" applyFont="1" applyFill="1" applyAlignment="1">
      <alignment vertical="top" wrapText="1"/>
    </xf>
    <xf numFmtId="0" fontId="73" fillId="0" borderId="0" xfId="0" applyFont="1" applyFill="1" applyAlignment="1">
      <alignment vertical="top" wrapText="1"/>
    </xf>
    <xf numFmtId="2" fontId="73" fillId="0" borderId="0" xfId="0" applyNumberFormat="1" applyFont="1" applyFill="1" applyAlignment="1">
      <alignment horizontal="center" wrapText="1"/>
    </xf>
    <xf numFmtId="2" fontId="73" fillId="0" borderId="4" xfId="0" applyNumberFormat="1" applyFont="1" applyFill="1" applyBorder="1" applyAlignment="1">
      <alignment horizontal="center"/>
    </xf>
    <xf numFmtId="2" fontId="80" fillId="0" borderId="0" xfId="0" applyNumberFormat="1" applyFont="1" applyFill="1" applyAlignment="1">
      <alignment horizontal="center" wrapText="1"/>
    </xf>
    <xf numFmtId="2" fontId="81" fillId="0" borderId="0" xfId="0" applyNumberFormat="1" applyFont="1" applyFill="1" applyAlignment="1">
      <alignment horizontal="center" wrapText="1"/>
    </xf>
    <xf numFmtId="0" fontId="79" fillId="0" borderId="0" xfId="0" applyFont="1" applyFill="1" applyAlignment="1">
      <alignment horizontal="center"/>
    </xf>
    <xf numFmtId="2" fontId="79" fillId="0" borderId="0" xfId="0" applyNumberFormat="1" applyFont="1" applyFill="1" applyAlignment="1">
      <alignment horizontal="center"/>
    </xf>
    <xf numFmtId="2" fontId="4" fillId="0" borderId="4" xfId="0" applyNumberFormat="1" applyFont="1" applyFill="1" applyBorder="1" applyAlignment="1">
      <alignment horizontal="center" wrapText="1"/>
    </xf>
    <xf numFmtId="2" fontId="3" fillId="0" borderId="4" xfId="0" applyNumberFormat="1" applyFont="1" applyBorder="1" applyAlignment="1">
      <alignment horizontal="center" vertical="center"/>
    </xf>
    <xf numFmtId="0" fontId="5" fillId="0" borderId="4" xfId="0" applyFont="1" applyBorder="1" applyAlignment="1">
      <alignment vertical="center"/>
    </xf>
    <xf numFmtId="2" fontId="73" fillId="0" borderId="0" xfId="0" applyNumberFormat="1" applyFont="1" applyFill="1" applyAlignment="1">
      <alignment wrapText="1"/>
    </xf>
    <xf numFmtId="0" fontId="79" fillId="0" borderId="0" xfId="0" applyFont="1" applyFill="1" applyAlignment="1">
      <alignment horizontal="left" vertical="top" wrapText="1"/>
    </xf>
    <xf numFmtId="0" fontId="73" fillId="0" borderId="0" xfId="0" applyFont="1" applyFill="1" applyAlignment="1">
      <alignment horizontal="left" vertical="top" wrapText="1"/>
    </xf>
    <xf numFmtId="0" fontId="73" fillId="0" borderId="0" xfId="0" applyFont="1" applyFill="1" applyAlignment="1">
      <alignment horizontal="justify" vertical="top" wrapText="1"/>
    </xf>
    <xf numFmtId="0" fontId="36" fillId="0" borderId="0" xfId="0" applyFont="1" applyAlignment="1">
      <alignment vertical="top" wrapText="1"/>
    </xf>
    <xf numFmtId="0" fontId="0" fillId="0" borderId="0" xfId="0" applyAlignment="1">
      <alignment horizontal="center" vertical="top" wrapText="1"/>
    </xf>
    <xf numFmtId="2" fontId="73" fillId="0" borderId="0" xfId="0" applyNumberFormat="1" applyFont="1" applyAlignment="1">
      <alignment horizontal="center" vertical="top" wrapText="1"/>
    </xf>
    <xf numFmtId="2" fontId="0" fillId="0" borderId="0" xfId="0" applyNumberFormat="1" applyAlignment="1">
      <alignment vertical="top" wrapText="1"/>
    </xf>
    <xf numFmtId="0" fontId="73" fillId="0" borderId="0" xfId="0" applyFont="1" applyAlignment="1">
      <alignment horizontal="center" vertical="top" wrapText="1"/>
    </xf>
    <xf numFmtId="2" fontId="0" fillId="0" borderId="0" xfId="0" applyNumberFormat="1" applyAlignment="1">
      <alignment horizontal="center" vertical="top" wrapText="1"/>
    </xf>
    <xf numFmtId="2" fontId="4" fillId="0" borderId="0" xfId="0" applyNumberFormat="1" applyFont="1" applyAlignment="1">
      <alignment horizontal="justify" vertical="top" wrapText="1"/>
    </xf>
    <xf numFmtId="167" fontId="4" fillId="0" borderId="0" xfId="0" applyNumberFormat="1" applyFont="1" applyFill="1" applyAlignment="1">
      <alignment horizontal="center" vertical="top" wrapText="1"/>
    </xf>
    <xf numFmtId="2" fontId="4" fillId="0" borderId="0" xfId="0" applyNumberFormat="1" applyFont="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right" vertical="top" wrapText="1"/>
    </xf>
    <xf numFmtId="2" fontId="4" fillId="0" borderId="0" xfId="0" applyNumberFormat="1" applyFont="1" applyBorder="1" applyAlignment="1">
      <alignment vertical="top" wrapText="1"/>
    </xf>
    <xf numFmtId="2" fontId="36" fillId="0" borderId="1" xfId="0" applyNumberFormat="1" applyFont="1" applyBorder="1" applyAlignment="1">
      <alignment vertical="top" wrapText="1"/>
    </xf>
    <xf numFmtId="2" fontId="36" fillId="0" borderId="0" xfId="0" applyNumberFormat="1" applyFont="1" applyAlignment="1">
      <alignment vertical="top" wrapText="1"/>
    </xf>
    <xf numFmtId="2" fontId="4" fillId="0" borderId="0" xfId="0" applyNumberFormat="1" applyFont="1" applyAlignment="1">
      <alignment vertical="top"/>
    </xf>
    <xf numFmtId="0" fontId="0" fillId="0" borderId="0" xfId="0" applyAlignment="1">
      <alignment horizontal="right" vertical="top" wrapText="1"/>
    </xf>
    <xf numFmtId="2" fontId="0" fillId="0" borderId="0" xfId="0" applyNumberFormat="1" applyAlignment="1">
      <alignment horizontal="center" vertical="center" wrapText="1"/>
    </xf>
    <xf numFmtId="168" fontId="4" fillId="0" borderId="0" xfId="0" applyNumberFormat="1" applyFont="1" applyFill="1" applyAlignment="1">
      <alignment horizontal="center" wrapText="1"/>
    </xf>
    <xf numFmtId="0" fontId="37" fillId="0" borderId="0" xfId="0" applyFont="1" applyFill="1" applyAlignment="1">
      <alignment horizontal="center" vertical="top"/>
    </xf>
    <xf numFmtId="0" fontId="34" fillId="0" borderId="0" xfId="0" applyFont="1" applyFill="1" applyBorder="1" applyAlignment="1">
      <alignment horizontal="justify" vertical="top"/>
    </xf>
    <xf numFmtId="0" fontId="34" fillId="0" borderId="0" xfId="0" applyFont="1" applyFill="1" applyBorder="1" applyAlignment="1">
      <alignment horizontal="center"/>
    </xf>
    <xf numFmtId="0" fontId="37" fillId="0" borderId="0" xfId="0" applyFont="1" applyFill="1" applyBorder="1" applyAlignment="1">
      <alignment horizontal="center"/>
    </xf>
    <xf numFmtId="173" fontId="2" fillId="0" borderId="6" xfId="0" applyNumberFormat="1" applyFont="1" applyFill="1" applyBorder="1" applyAlignment="1">
      <alignment horizontal="center" vertical="top"/>
    </xf>
    <xf numFmtId="2" fontId="2" fillId="0" borderId="6" xfId="0" applyNumberFormat="1" applyFont="1" applyFill="1" applyBorder="1" applyAlignment="1">
      <alignment horizontal="center" vertical="top"/>
    </xf>
    <xf numFmtId="173" fontId="37" fillId="0" borderId="0" xfId="0" applyNumberFormat="1" applyFont="1" applyFill="1" applyAlignment="1">
      <alignment horizontal="center" vertical="top"/>
    </xf>
    <xf numFmtId="173" fontId="34" fillId="0" borderId="0" xfId="0" applyNumberFormat="1" applyFont="1" applyFill="1" applyBorder="1" applyAlignment="1">
      <alignment horizontal="justify" vertical="top"/>
    </xf>
    <xf numFmtId="173" fontId="34" fillId="0" borderId="0" xfId="0" applyNumberFormat="1" applyFont="1" applyFill="1" applyBorder="1" applyAlignment="1">
      <alignment horizontal="center"/>
    </xf>
    <xf numFmtId="173" fontId="37" fillId="0" borderId="0" xfId="0" applyNumberFormat="1" applyFont="1" applyFill="1" applyBorder="1" applyAlignment="1">
      <alignment horizontal="center"/>
    </xf>
    <xf numFmtId="0" fontId="73" fillId="0" borderId="0" xfId="0" applyFont="1"/>
    <xf numFmtId="0" fontId="4" fillId="0" borderId="0" xfId="0" applyNumberFormat="1" applyFont="1" applyBorder="1" applyAlignment="1">
      <alignment horizontal="center" wrapText="1"/>
    </xf>
    <xf numFmtId="0" fontId="2" fillId="0" borderId="0" xfId="0" applyFont="1" applyBorder="1" applyAlignment="1">
      <alignment horizontal="center" vertical="top" wrapText="1"/>
    </xf>
    <xf numFmtId="0" fontId="4" fillId="0" borderId="0" xfId="0" applyFont="1" applyBorder="1" applyAlignment="1">
      <alignment horizontal="justify" vertical="top" wrapText="1"/>
    </xf>
    <xf numFmtId="2" fontId="4" fillId="0" borderId="0" xfId="0" applyNumberFormat="1" applyFont="1" applyBorder="1" applyAlignment="1">
      <alignment horizontal="center" wrapText="1"/>
    </xf>
    <xf numFmtId="4" fontId="4" fillId="0" borderId="0" xfId="0" applyNumberFormat="1" applyFont="1" applyBorder="1" applyAlignment="1">
      <alignment horizontal="center" wrapText="1"/>
    </xf>
    <xf numFmtId="4" fontId="4" fillId="0" borderId="4" xfId="0" applyNumberFormat="1" applyFont="1" applyBorder="1" applyAlignment="1">
      <alignment horizontal="center" wrapText="1"/>
    </xf>
    <xf numFmtId="0" fontId="4" fillId="0" borderId="0" xfId="8" applyFont="1" applyFill="1" applyAlignment="1">
      <alignment horizontal="justify" vertical="top" wrapText="1"/>
    </xf>
    <xf numFmtId="0" fontId="4" fillId="0" borderId="0" xfId="0" applyFont="1" applyAlignment="1">
      <alignment horizontal="justify" vertical="top"/>
    </xf>
    <xf numFmtId="0" fontId="82" fillId="0" borderId="0" xfId="0" applyFont="1" applyBorder="1" applyAlignment="1">
      <alignment horizontal="center" vertical="center" wrapText="1"/>
    </xf>
    <xf numFmtId="0" fontId="82" fillId="0" borderId="0" xfId="0" applyFont="1" applyFill="1" applyBorder="1" applyAlignment="1">
      <alignment horizontal="center" vertical="center" wrapText="1"/>
    </xf>
    <xf numFmtId="0" fontId="83" fillId="0" borderId="0" xfId="0" applyFont="1" applyBorder="1" applyAlignment="1">
      <alignment horizontal="center" vertical="center"/>
    </xf>
    <xf numFmtId="0" fontId="6" fillId="0" borderId="0" xfId="0" applyFont="1" applyBorder="1" applyAlignment="1">
      <alignment vertical="center"/>
    </xf>
    <xf numFmtId="0" fontId="84" fillId="0" borderId="0" xfId="0" applyFont="1" applyBorder="1" applyAlignment="1">
      <alignment horizontal="center" vertical="center" wrapText="1"/>
    </xf>
    <xf numFmtId="0" fontId="84" fillId="0" borderId="0" xfId="0" applyFont="1" applyFill="1" applyBorder="1" applyAlignment="1">
      <alignment horizontal="center" vertical="center" wrapText="1"/>
    </xf>
    <xf numFmtId="0" fontId="84" fillId="0" borderId="0" xfId="0" applyFont="1" applyBorder="1" applyAlignment="1">
      <alignment horizontal="center" vertical="top" wrapText="1"/>
    </xf>
    <xf numFmtId="0" fontId="84" fillId="0" borderId="0" xfId="0" applyFont="1" applyFill="1" applyBorder="1" applyAlignment="1">
      <alignment horizontal="center" vertical="top" wrapText="1"/>
    </xf>
    <xf numFmtId="0" fontId="85" fillId="0" borderId="0" xfId="0" applyFont="1" applyBorder="1" applyAlignment="1">
      <alignment horizontal="justify" vertical="top" wrapText="1"/>
    </xf>
    <xf numFmtId="0" fontId="84" fillId="0" borderId="0" xfId="0" applyFont="1" applyBorder="1" applyAlignment="1">
      <alignment horizontal="justify" vertical="top" wrapText="1"/>
    </xf>
    <xf numFmtId="0" fontId="3" fillId="0" borderId="0" xfId="0" applyFont="1" applyFill="1" applyBorder="1" applyAlignment="1">
      <alignment horizontal="justify" vertical="top" wrapText="1"/>
    </xf>
    <xf numFmtId="2" fontId="4" fillId="0" borderId="0" xfId="0" applyNumberFormat="1" applyFont="1" applyFill="1" applyBorder="1" applyAlignment="1">
      <alignment horizontal="justify" vertical="top" wrapText="1"/>
    </xf>
    <xf numFmtId="0" fontId="4" fillId="0" borderId="0" xfId="6" applyFont="1" applyFill="1" applyBorder="1" applyAlignment="1">
      <alignment horizontal="center" wrapText="1"/>
    </xf>
    <xf numFmtId="0" fontId="4" fillId="0" borderId="0" xfId="0" applyFont="1" applyFill="1" applyBorder="1" applyAlignment="1">
      <alignment horizontal="justify" vertical="top"/>
    </xf>
    <xf numFmtId="4" fontId="73" fillId="0" borderId="0" xfId="0" applyNumberFormat="1" applyFont="1" applyFill="1" applyBorder="1" applyAlignment="1">
      <alignment horizontal="center"/>
    </xf>
    <xf numFmtId="0" fontId="73" fillId="0" borderId="0" xfId="0" applyNumberFormat="1" applyFont="1" applyFill="1" applyBorder="1" applyAlignment="1">
      <alignment horizontal="justify" vertical="top" wrapText="1"/>
    </xf>
    <xf numFmtId="2" fontId="17" fillId="0" borderId="0" xfId="0" applyNumberFormat="1" applyFont="1" applyAlignment="1"/>
    <xf numFmtId="0" fontId="4" fillId="0" borderId="0" xfId="0" applyFont="1" applyFill="1" applyBorder="1" applyAlignment="1">
      <alignment horizontal="justify" wrapText="1"/>
    </xf>
    <xf numFmtId="173" fontId="2" fillId="0" borderId="0" xfId="0" applyNumberFormat="1" applyFont="1" applyFill="1" applyBorder="1" applyAlignment="1">
      <alignment horizontal="center" vertical="top"/>
    </xf>
    <xf numFmtId="2" fontId="73" fillId="0" borderId="0" xfId="0" applyNumberFormat="1" applyFont="1" applyFill="1" applyBorder="1" applyAlignment="1">
      <alignment horizontal="justify" vertical="top" wrapText="1"/>
    </xf>
    <xf numFmtId="2" fontId="73" fillId="0" borderId="0"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4" fontId="2" fillId="0" borderId="0" xfId="0" applyNumberFormat="1" applyFont="1" applyFill="1" applyBorder="1" applyAlignment="1">
      <alignment horizontal="center"/>
    </xf>
    <xf numFmtId="173" fontId="73" fillId="0" borderId="0" xfId="0" applyNumberFormat="1" applyFont="1" applyFill="1" applyBorder="1" applyAlignment="1">
      <alignment horizontal="center" vertical="top"/>
    </xf>
    <xf numFmtId="0" fontId="73" fillId="0" borderId="0" xfId="0" applyFont="1" applyBorder="1"/>
    <xf numFmtId="0" fontId="73" fillId="0" borderId="0" xfId="0" applyFont="1" applyBorder="1" applyAlignment="1"/>
    <xf numFmtId="0" fontId="73" fillId="0" borderId="0" xfId="0" applyFont="1" applyBorder="1" applyAlignment="1">
      <alignment horizontal="center"/>
    </xf>
    <xf numFmtId="0" fontId="86" fillId="0" borderId="0" xfId="0" applyFont="1" applyAlignment="1">
      <alignment horizontal="center"/>
    </xf>
    <xf numFmtId="0" fontId="73" fillId="0" borderId="0" xfId="0" applyFont="1" applyAlignment="1"/>
    <xf numFmtId="0" fontId="73" fillId="0" borderId="0" xfId="0" applyFont="1" applyAlignment="1">
      <alignment horizontal="center"/>
    </xf>
    <xf numFmtId="4" fontId="2" fillId="0" borderId="0" xfId="0" applyNumberFormat="1" applyFont="1" applyAlignment="1">
      <alignment horizontal="center"/>
    </xf>
    <xf numFmtId="0" fontId="2" fillId="0" borderId="0" xfId="0" applyFont="1" applyFill="1" applyAlignment="1">
      <alignment horizontal="center" vertical="center"/>
    </xf>
    <xf numFmtId="4" fontId="2" fillId="0" borderId="0" xfId="0" applyNumberFormat="1" applyFont="1" applyAlignment="1">
      <alignment horizontal="center" vertical="center"/>
    </xf>
    <xf numFmtId="0" fontId="71" fillId="0" borderId="0" xfId="0" applyFont="1" applyAlignment="1">
      <alignment horizontal="center"/>
    </xf>
    <xf numFmtId="0" fontId="2" fillId="0" borderId="0" xfId="0" applyFont="1" applyFill="1" applyBorder="1" applyAlignment="1">
      <alignment horizontal="center" wrapText="1"/>
    </xf>
    <xf numFmtId="0" fontId="73" fillId="0" borderId="0" xfId="0" applyFont="1" applyAlignment="1">
      <alignment horizontal="center" vertical="center"/>
    </xf>
    <xf numFmtId="168" fontId="0" fillId="0" borderId="0" xfId="0" applyNumberFormat="1" applyAlignment="1">
      <alignment horizontal="center" vertical="center"/>
    </xf>
    <xf numFmtId="0" fontId="4" fillId="0" borderId="0" xfId="0" applyFont="1" applyAlignment="1">
      <alignment horizontal="right" vertical="center"/>
    </xf>
    <xf numFmtId="1" fontId="0" fillId="0" borderId="0" xfId="0" applyNumberFormat="1" applyAlignment="1">
      <alignment horizontal="center"/>
    </xf>
    <xf numFmtId="167" fontId="0" fillId="0" borderId="0" xfId="0" applyNumberFormat="1" applyAlignment="1">
      <alignment horizontal="center" vertical="center"/>
    </xf>
    <xf numFmtId="0" fontId="73" fillId="0" borderId="0" xfId="0" applyFont="1" applyBorder="1" applyAlignment="1">
      <alignment horizontal="justify" vertical="top" wrapText="1"/>
    </xf>
    <xf numFmtId="2" fontId="3" fillId="0" borderId="0" xfId="0" applyNumberFormat="1" applyFont="1" applyFill="1" applyBorder="1" applyAlignment="1">
      <alignment horizontal="center" vertical="top"/>
    </xf>
    <xf numFmtId="2" fontId="2" fillId="0" borderId="0" xfId="0" applyNumberFormat="1" applyFont="1" applyFill="1" applyBorder="1" applyAlignment="1">
      <alignment horizontal="center"/>
    </xf>
    <xf numFmtId="0" fontId="5" fillId="0" borderId="0" xfId="0" applyFont="1" applyFill="1" applyAlignment="1">
      <alignment horizontal="left" vertical="center"/>
    </xf>
    <xf numFmtId="0" fontId="4" fillId="0" borderId="0" xfId="0" applyFont="1" applyAlignment="1">
      <alignment vertical="top"/>
    </xf>
    <xf numFmtId="0" fontId="12" fillId="0" borderId="0" xfId="0" applyFont="1" applyFill="1" applyBorder="1" applyAlignment="1">
      <alignment vertical="top"/>
    </xf>
    <xf numFmtId="0" fontId="2" fillId="0" borderId="0" xfId="0" applyFont="1" applyBorder="1" applyAlignment="1">
      <alignment horizontal="justify" vertical="top" wrapText="1"/>
    </xf>
    <xf numFmtId="2" fontId="4" fillId="0" borderId="0" xfId="0" applyNumberFormat="1" applyFont="1" applyBorder="1"/>
    <xf numFmtId="43" fontId="4" fillId="0" borderId="0" xfId="0" applyNumberFormat="1" applyFont="1" applyFill="1" applyBorder="1" applyAlignment="1">
      <alignment horizontal="center"/>
    </xf>
    <xf numFmtId="0" fontId="4" fillId="0" borderId="0" xfId="0" applyFont="1" applyFill="1" applyAlignment="1">
      <alignment horizontal="justify" vertical="center" wrapText="1"/>
    </xf>
    <xf numFmtId="0" fontId="2" fillId="0" borderId="0" xfId="0" applyNumberFormat="1" applyFont="1" applyFill="1" applyAlignment="1">
      <alignment horizontal="justify" vertical="top" wrapText="1"/>
    </xf>
    <xf numFmtId="43" fontId="4" fillId="0" borderId="0" xfId="0" applyNumberFormat="1" applyFont="1" applyFill="1" applyAlignment="1">
      <alignment horizontal="center"/>
    </xf>
    <xf numFmtId="0" fontId="4" fillId="0" borderId="0" xfId="0" applyFont="1" applyFill="1" applyAlignment="1">
      <alignment vertical="center"/>
    </xf>
    <xf numFmtId="2" fontId="9" fillId="0" borderId="0" xfId="0" applyNumberFormat="1" applyFont="1" applyFill="1" applyAlignment="1" applyProtection="1">
      <alignment horizontal="center"/>
      <protection hidden="1"/>
    </xf>
    <xf numFmtId="2" fontId="9" fillId="0" borderId="4" xfId="0" applyNumberFormat="1" applyFont="1" applyFill="1" applyBorder="1" applyAlignment="1" applyProtection="1">
      <alignment horizontal="center"/>
      <protection hidden="1"/>
    </xf>
    <xf numFmtId="0" fontId="2" fillId="0" borderId="0" xfId="0" applyNumberFormat="1" applyFont="1" applyFill="1" applyAlignment="1" applyProtection="1">
      <alignment horizontal="justify" vertical="top" wrapText="1"/>
      <protection hidden="1"/>
    </xf>
    <xf numFmtId="2" fontId="0" fillId="0" borderId="5" xfId="0" applyNumberFormat="1" applyFill="1" applyBorder="1" applyAlignment="1">
      <alignment horizontal="center"/>
    </xf>
    <xf numFmtId="0" fontId="0" fillId="0" borderId="0" xfId="0" applyFill="1" applyAlignment="1">
      <alignment horizontal="center" vertical="top"/>
    </xf>
    <xf numFmtId="0" fontId="2" fillId="0" borderId="0" xfId="0" applyFont="1" applyFill="1" applyAlignment="1">
      <alignment vertical="top" wrapText="1"/>
    </xf>
    <xf numFmtId="4" fontId="4" fillId="0" borderId="5" xfId="0" applyNumberFormat="1" applyFont="1" applyFill="1" applyBorder="1" applyAlignment="1">
      <alignment horizontal="center"/>
    </xf>
    <xf numFmtId="0" fontId="24" fillId="0" borderId="0" xfId="0" applyFont="1" applyFill="1" applyAlignment="1" applyProtection="1">
      <alignment horizontal="center" vertical="top"/>
      <protection hidden="1"/>
    </xf>
    <xf numFmtId="0" fontId="20" fillId="0" borderId="0" xfId="0" applyFont="1" applyFill="1" applyAlignment="1" applyProtection="1">
      <alignment horizontal="center" vertical="top"/>
      <protection hidden="1"/>
    </xf>
    <xf numFmtId="0" fontId="20" fillId="0" borderId="0" xfId="0" applyFont="1" applyFill="1" applyAlignment="1" applyProtection="1">
      <alignment vertical="top"/>
      <protection hidden="1"/>
    </xf>
    <xf numFmtId="0" fontId="24" fillId="0" borderId="0" xfId="0" applyFont="1" applyFill="1" applyAlignment="1" applyProtection="1">
      <alignment horizontal="left" vertical="top"/>
      <protection hidden="1"/>
    </xf>
    <xf numFmtId="0" fontId="26" fillId="0" borderId="0" xfId="0" applyFont="1" applyFill="1" applyBorder="1" applyAlignment="1" applyProtection="1">
      <alignment horizontal="center"/>
      <protection hidden="1"/>
    </xf>
    <xf numFmtId="0" fontId="2" fillId="0" borderId="0" xfId="0" applyNumberFormat="1" applyFont="1" applyFill="1" applyBorder="1" applyAlignment="1" applyProtection="1">
      <alignment horizontal="justify" vertical="top" wrapText="1"/>
      <protection hidden="1"/>
    </xf>
    <xf numFmtId="0" fontId="4" fillId="0" borderId="0" xfId="0" applyFont="1" applyFill="1" applyAlignment="1" applyProtection="1">
      <alignment vertical="top"/>
      <protection hidden="1"/>
    </xf>
    <xf numFmtId="0" fontId="28" fillId="0" borderId="0" xfId="0" applyFont="1" applyFill="1" applyAlignment="1" applyProtection="1">
      <alignment horizontal="right" vertical="top"/>
      <protection hidden="1"/>
    </xf>
    <xf numFmtId="0" fontId="29" fillId="0" borderId="0" xfId="0" applyFont="1" applyFill="1" applyAlignment="1" applyProtection="1">
      <alignment vertical="top"/>
      <protection hidden="1"/>
    </xf>
    <xf numFmtId="0" fontId="29" fillId="0" borderId="0" xfId="0" applyFont="1" applyFill="1" applyAlignment="1" applyProtection="1">
      <alignment horizontal="center" vertical="top"/>
      <protection hidden="1"/>
    </xf>
    <xf numFmtId="0" fontId="30" fillId="0" borderId="0" xfId="0" applyFont="1" applyFill="1" applyAlignment="1" applyProtection="1">
      <alignment horizontal="right" vertical="top"/>
      <protection hidden="1"/>
    </xf>
    <xf numFmtId="0" fontId="29" fillId="0" borderId="0" xfId="0" applyFont="1" applyFill="1" applyBorder="1" applyAlignment="1" applyProtection="1">
      <alignment horizontal="center" vertical="top"/>
      <protection hidden="1"/>
    </xf>
    <xf numFmtId="0" fontId="28" fillId="0" borderId="0" xfId="0" applyFont="1" applyFill="1" applyBorder="1" applyAlignment="1" applyProtection="1">
      <alignment horizontal="right" vertical="top"/>
      <protection hidden="1"/>
    </xf>
    <xf numFmtId="0" fontId="4" fillId="0" borderId="0" xfId="0" applyFont="1" applyFill="1" applyAlignment="1" applyProtection="1">
      <alignment horizontal="left" vertical="top" wrapText="1" indent="2"/>
      <protection hidden="1"/>
    </xf>
    <xf numFmtId="0" fontId="4" fillId="0" borderId="0" xfId="0" applyFont="1" applyFill="1" applyAlignment="1" applyProtection="1">
      <alignment horizontal="left" vertical="top" indent="2"/>
      <protection hidden="1"/>
    </xf>
    <xf numFmtId="0" fontId="4"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31" fillId="0" borderId="0" xfId="0" applyFont="1" applyFill="1" applyAlignment="1" applyProtection="1">
      <alignment horizontal="right" vertical="top"/>
      <protection hidden="1"/>
    </xf>
    <xf numFmtId="0" fontId="9" fillId="0" borderId="0" xfId="0" applyFont="1" applyFill="1" applyAlignment="1" applyProtection="1">
      <alignment horizontal="right" vertical="top"/>
      <protection hidden="1"/>
    </xf>
    <xf numFmtId="168" fontId="0" fillId="0" borderId="0" xfId="0" applyNumberFormat="1" applyFill="1" applyAlignment="1">
      <alignment horizontal="center"/>
    </xf>
    <xf numFmtId="2" fontId="0" fillId="0" borderId="0" xfId="0" applyNumberFormat="1" applyFill="1"/>
    <xf numFmtId="168" fontId="4" fillId="0" borderId="5" xfId="0" applyNumberFormat="1" applyFont="1" applyFill="1" applyBorder="1" applyAlignment="1">
      <alignment horizontal="center"/>
    </xf>
    <xf numFmtId="4" fontId="0" fillId="0" borderId="0" xfId="0" applyNumberFormat="1" applyFill="1" applyAlignment="1">
      <alignment horizontal="center"/>
    </xf>
    <xf numFmtId="4" fontId="0" fillId="0" borderId="4" xfId="0" applyNumberFormat="1" applyFill="1" applyBorder="1" applyAlignment="1">
      <alignment horizontal="center"/>
    </xf>
    <xf numFmtId="2" fontId="0" fillId="0" borderId="0" xfId="0" applyNumberFormat="1" applyFill="1" applyAlignment="1">
      <alignment horizontal="right"/>
    </xf>
    <xf numFmtId="2" fontId="0" fillId="0" borderId="0" xfId="0" applyNumberFormat="1" applyFill="1" applyAlignment="1">
      <alignment horizontal="justify" vertical="top" wrapText="1"/>
    </xf>
    <xf numFmtId="2" fontId="2" fillId="0" borderId="0" xfId="0" applyNumberFormat="1" applyFont="1" applyFill="1" applyAlignment="1">
      <alignment horizontal="justify" vertical="top" wrapText="1"/>
    </xf>
    <xf numFmtId="0" fontId="0" fillId="0" borderId="0" xfId="0" applyFill="1" applyAlignment="1">
      <alignment horizontal="justify" vertical="top" wrapText="1"/>
    </xf>
    <xf numFmtId="2" fontId="4" fillId="0" borderId="4" xfId="0" applyNumberFormat="1" applyFont="1" applyFill="1" applyBorder="1" applyAlignment="1">
      <alignment horizontal="center"/>
    </xf>
    <xf numFmtId="2" fontId="4" fillId="0" borderId="0" xfId="0" applyNumberFormat="1" applyFont="1" applyFill="1" applyAlignment="1">
      <alignment horizontal="right" vertical="top" wrapText="1"/>
    </xf>
    <xf numFmtId="2" fontId="4" fillId="0" borderId="0" xfId="0" applyNumberFormat="1" applyFont="1" applyFill="1" applyBorder="1" applyAlignment="1">
      <alignment horizontal="right"/>
    </xf>
    <xf numFmtId="2" fontId="2" fillId="0" borderId="0" xfId="0" applyNumberFormat="1" applyFont="1" applyFill="1" applyBorder="1" applyAlignment="1">
      <alignment horizontal="right"/>
    </xf>
    <xf numFmtId="0" fontId="39" fillId="0" borderId="0" xfId="0" applyFont="1" applyFill="1" applyBorder="1" applyAlignment="1">
      <alignment horizontal="justify" vertical="top"/>
    </xf>
    <xf numFmtId="0" fontId="0" fillId="0" borderId="0" xfId="0" applyFont="1" applyFill="1" applyBorder="1"/>
    <xf numFmtId="0" fontId="27" fillId="0" borderId="0" xfId="0" applyFont="1" applyFill="1" applyAlignment="1">
      <alignment horizontal="left"/>
    </xf>
    <xf numFmtId="0" fontId="27" fillId="0" borderId="0" xfId="0" applyFont="1" applyFill="1" applyAlignment="1">
      <alignment horizontal="center"/>
    </xf>
    <xf numFmtId="0" fontId="27" fillId="0" borderId="0" xfId="0" applyFont="1" applyFill="1" applyAlignment="1"/>
    <xf numFmtId="0" fontId="27" fillId="0" borderId="0" xfId="0" applyFont="1" applyFill="1" applyAlignment="1">
      <alignment vertical="center"/>
    </xf>
    <xf numFmtId="0" fontId="2" fillId="0" borderId="6" xfId="0" applyFont="1" applyFill="1" applyBorder="1" applyAlignment="1">
      <alignment horizontal="center" vertical="center" wrapText="1"/>
    </xf>
    <xf numFmtId="0" fontId="2" fillId="0" borderId="0" xfId="0" applyFont="1" applyFill="1" applyAlignment="1">
      <alignment horizontal="center" wrapText="1"/>
    </xf>
    <xf numFmtId="0" fontId="4" fillId="0" borderId="6" xfId="0" applyFont="1" applyFill="1" applyBorder="1" applyAlignment="1">
      <alignment horizontal="left" vertical="top" wrapText="1"/>
    </xf>
    <xf numFmtId="0" fontId="4" fillId="0" borderId="6" xfId="0" applyFont="1" applyFill="1" applyBorder="1" applyAlignment="1">
      <alignment horizontal="center" wrapText="1"/>
    </xf>
    <xf numFmtId="2" fontId="4" fillId="0" borderId="6" xfId="0" applyNumberFormat="1" applyFont="1" applyFill="1" applyBorder="1" applyAlignment="1">
      <alignment horizontal="center" wrapText="1"/>
    </xf>
    <xf numFmtId="2" fontId="4" fillId="0"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wrapText="1"/>
    </xf>
    <xf numFmtId="0" fontId="4" fillId="0" borderId="0" xfId="0" applyFont="1" applyFill="1" applyBorder="1" applyAlignment="1">
      <alignment horizontal="left" vertical="top" wrapText="1"/>
    </xf>
    <xf numFmtId="0" fontId="15" fillId="0" borderId="0" xfId="0" applyFont="1" applyFill="1" applyAlignment="1">
      <alignment vertical="center"/>
    </xf>
    <xf numFmtId="0" fontId="4" fillId="0" borderId="0" xfId="0" applyFont="1" applyFill="1" applyAlignment="1">
      <alignment vertical="center" wrapText="1"/>
    </xf>
    <xf numFmtId="0" fontId="0" fillId="0" borderId="0" xfId="0" applyFill="1" applyAlignment="1">
      <alignment horizontal="left"/>
    </xf>
    <xf numFmtId="0" fontId="2" fillId="0" borderId="0" xfId="0" applyFont="1" applyAlignment="1">
      <alignment horizontal="justify" vertical="top" wrapText="1"/>
    </xf>
    <xf numFmtId="2" fontId="0" fillId="0" borderId="0" xfId="0" applyNumberFormat="1" applyFill="1" applyBorder="1"/>
    <xf numFmtId="0" fontId="4" fillId="0" borderId="0" xfId="0" applyFont="1" applyFill="1" applyBorder="1" applyAlignment="1">
      <alignment horizontal="left"/>
    </xf>
    <xf numFmtId="2" fontId="73" fillId="0" borderId="0" xfId="0" applyNumberFormat="1" applyFont="1" applyFill="1" applyAlignment="1">
      <alignment horizontal="center"/>
    </xf>
    <xf numFmtId="2" fontId="28" fillId="0" borderId="0" xfId="0" applyNumberFormat="1" applyFont="1" applyFill="1" applyAlignment="1">
      <alignment horizontal="center"/>
    </xf>
    <xf numFmtId="0" fontId="0" fillId="0" borderId="4" xfId="0" applyFill="1" applyBorder="1" applyAlignment="1">
      <alignment horizontal="center"/>
    </xf>
    <xf numFmtId="2" fontId="40" fillId="0" borderId="0" xfId="0" applyNumberFormat="1" applyFont="1" applyFill="1" applyAlignment="1">
      <alignment horizontal="center"/>
    </xf>
    <xf numFmtId="1" fontId="4" fillId="0" borderId="0" xfId="0" applyNumberFormat="1" applyFont="1" applyFill="1" applyAlignment="1">
      <alignment horizontal="center"/>
    </xf>
    <xf numFmtId="0" fontId="2" fillId="0" borderId="0" xfId="0" applyFont="1" applyAlignment="1">
      <alignment horizontal="justify" wrapText="1"/>
    </xf>
    <xf numFmtId="0" fontId="4" fillId="0" borderId="0" xfId="0" applyFont="1" applyAlignment="1">
      <alignment horizontal="justify" vertical="top" wrapText="1"/>
    </xf>
    <xf numFmtId="0" fontId="4" fillId="0" borderId="0" xfId="0" applyFont="1" applyAlignment="1">
      <alignment horizontal="justify" wrapText="1"/>
    </xf>
    <xf numFmtId="164" fontId="2" fillId="0" borderId="0" xfId="1" applyFont="1" applyAlignment="1">
      <alignment horizontal="center"/>
    </xf>
    <xf numFmtId="0" fontId="0" fillId="0" borderId="0" xfId="0" applyFill="1" applyAlignment="1">
      <alignment wrapText="1"/>
    </xf>
    <xf numFmtId="2" fontId="34" fillId="0" borderId="0" xfId="0" applyNumberFormat="1" applyFont="1" applyFill="1" applyBorder="1" applyAlignment="1">
      <alignment horizontal="center"/>
    </xf>
    <xf numFmtId="0" fontId="34" fillId="0" borderId="0" xfId="0" applyFont="1" applyFill="1"/>
    <xf numFmtId="0" fontId="41" fillId="0" borderId="0" xfId="0" applyFont="1" applyFill="1" applyBorder="1" applyAlignment="1">
      <alignment horizontal="left" wrapText="1"/>
    </xf>
    <xf numFmtId="0" fontId="41" fillId="0" borderId="0" xfId="0" applyFont="1" applyFill="1" applyBorder="1" applyAlignment="1">
      <alignment horizontal="center" wrapText="1"/>
    </xf>
    <xf numFmtId="166" fontId="14" fillId="0" borderId="0" xfId="1" applyNumberFormat="1" applyFont="1" applyFill="1" applyBorder="1" applyAlignment="1">
      <alignment horizontal="right" wrapText="1"/>
    </xf>
    <xf numFmtId="166" fontId="14" fillId="0" borderId="0" xfId="1" applyNumberFormat="1" applyFont="1" applyFill="1" applyBorder="1" applyAlignment="1">
      <alignment vertical="center" wrapText="1"/>
    </xf>
    <xf numFmtId="0" fontId="43" fillId="0" borderId="0" xfId="0" applyFont="1" applyBorder="1" applyAlignment="1">
      <alignment horizontal="center" wrapText="1"/>
    </xf>
    <xf numFmtId="164" fontId="14" fillId="0" borderId="0" xfId="1" applyFont="1" applyFill="1" applyBorder="1" applyAlignment="1">
      <alignment horizontal="center" vertical="center" wrapText="1"/>
    </xf>
    <xf numFmtId="0" fontId="42" fillId="0" borderId="0" xfId="0" applyFont="1" applyFill="1" applyBorder="1" applyAlignment="1">
      <alignment vertical="center" wrapText="1"/>
    </xf>
    <xf numFmtId="0" fontId="87" fillId="0" borderId="0" xfId="0" applyFont="1" applyFill="1" applyBorder="1" applyAlignment="1">
      <alignment horizontal="center" vertical="center" wrapText="1"/>
    </xf>
    <xf numFmtId="0" fontId="4" fillId="0" borderId="0" xfId="0" applyFont="1" applyBorder="1" applyAlignment="1">
      <alignment horizontal="left" vertical="top" wrapText="1"/>
    </xf>
    <xf numFmtId="0" fontId="2" fillId="0" borderId="0" xfId="0" applyFont="1" applyAlignment="1">
      <alignment horizontal="center" vertical="top"/>
    </xf>
    <xf numFmtId="0" fontId="74" fillId="0" borderId="0" xfId="0" applyFont="1" applyAlignment="1">
      <alignment horizontal="justify" vertical="top" wrapText="1"/>
    </xf>
    <xf numFmtId="0" fontId="4" fillId="0" borderId="0" xfId="0" applyFont="1" applyBorder="1" applyAlignment="1">
      <alignment horizontal="justify" vertical="center" wrapText="1"/>
    </xf>
    <xf numFmtId="0" fontId="81" fillId="0" borderId="0" xfId="0" applyFont="1" applyFill="1" applyBorder="1" applyAlignment="1">
      <alignment horizontal="center" vertical="top"/>
    </xf>
    <xf numFmtId="2" fontId="73" fillId="0" borderId="0" xfId="0" applyNumberFormat="1" applyFont="1" applyBorder="1" applyAlignment="1">
      <alignment horizontal="center" wrapText="1"/>
    </xf>
    <xf numFmtId="0" fontId="2" fillId="0" borderId="0" xfId="0" applyFont="1" applyFill="1" applyBorder="1" applyAlignment="1">
      <alignment horizontal="justify" vertical="top" wrapText="1"/>
    </xf>
    <xf numFmtId="2" fontId="4" fillId="0" borderId="4" xfId="0" applyNumberFormat="1" applyFont="1" applyBorder="1" applyAlignment="1">
      <alignment horizontal="center" wrapText="1"/>
    </xf>
    <xf numFmtId="0" fontId="4" fillId="0" borderId="0" xfId="0" applyFont="1" applyFill="1" applyBorder="1" applyAlignment="1" applyProtection="1">
      <alignment horizontal="justify" vertical="top"/>
      <protection hidden="1"/>
    </xf>
    <xf numFmtId="0" fontId="29" fillId="0" borderId="0" xfId="0" applyFont="1" applyFill="1" applyAlignment="1" applyProtection="1">
      <alignment horizontal="left" vertical="top"/>
      <protection hidden="1"/>
    </xf>
    <xf numFmtId="0" fontId="4" fillId="0" borderId="0" xfId="0" applyFont="1" applyFill="1" applyBorder="1" applyAlignment="1" applyProtection="1">
      <alignment horizontal="left" vertical="top" wrapText="1"/>
      <protection hidden="1"/>
    </xf>
    <xf numFmtId="0" fontId="2" fillId="0" borderId="0" xfId="0" applyFont="1" applyFill="1" applyBorder="1" applyAlignment="1" applyProtection="1">
      <alignment vertical="top" wrapText="1"/>
      <protection hidden="1"/>
    </xf>
    <xf numFmtId="0" fontId="4" fillId="0" borderId="0" xfId="0" applyFont="1" applyFill="1" applyAlignment="1" applyProtection="1">
      <alignment horizontal="right"/>
      <protection hidden="1"/>
    </xf>
    <xf numFmtId="0" fontId="4" fillId="0" borderId="0" xfId="0" applyFont="1" applyFill="1" applyAlignment="1" applyProtection="1">
      <alignment horizontal="center"/>
      <protection hidden="1"/>
    </xf>
    <xf numFmtId="2" fontId="4" fillId="0" borderId="0" xfId="0" applyNumberFormat="1" applyFont="1" applyFill="1" applyAlignment="1" applyProtection="1">
      <alignment horizontal="center"/>
      <protection hidden="1"/>
    </xf>
    <xf numFmtId="2" fontId="4" fillId="0" borderId="0" xfId="0" quotePrefix="1" applyNumberFormat="1" applyFont="1" applyFill="1" applyAlignment="1" applyProtection="1">
      <alignment horizontal="center"/>
      <protection hidden="1"/>
    </xf>
    <xf numFmtId="0" fontId="46" fillId="0" borderId="0" xfId="0" applyFont="1" applyFill="1" applyAlignment="1">
      <alignment horizont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justify" vertical="center"/>
    </xf>
    <xf numFmtId="0" fontId="18" fillId="0" borderId="0" xfId="0" applyFont="1" applyFill="1" applyBorder="1" applyAlignment="1">
      <alignment horizontal="justify" vertical="center"/>
    </xf>
    <xf numFmtId="0" fontId="33" fillId="0" borderId="0" xfId="0" applyFont="1" applyFill="1" applyAlignment="1" applyProtection="1">
      <alignment vertical="top"/>
      <protection hidden="1"/>
    </xf>
    <xf numFmtId="0" fontId="4" fillId="0" borderId="0" xfId="0" applyFont="1" applyFill="1" applyBorder="1" applyAlignment="1" applyProtection="1">
      <alignment horizontal="justify" vertical="top" wrapText="1"/>
      <protection hidden="1"/>
    </xf>
    <xf numFmtId="2" fontId="4" fillId="0" borderId="0" xfId="0" applyNumberFormat="1" applyFont="1" applyBorder="1" applyAlignment="1">
      <alignment horizontal="center" vertical="top" wrapText="1"/>
    </xf>
    <xf numFmtId="164" fontId="0" fillId="0" borderId="0" xfId="0" applyNumberFormat="1"/>
    <xf numFmtId="166" fontId="0" fillId="0" borderId="0" xfId="0" applyNumberFormat="1"/>
    <xf numFmtId="164" fontId="2" fillId="0" borderId="0" xfId="1" applyFont="1" applyBorder="1" applyAlignment="1">
      <alignment horizontal="center"/>
    </xf>
    <xf numFmtId="0" fontId="4" fillId="2" borderId="0" xfId="0" applyFont="1" applyFill="1"/>
    <xf numFmtId="0" fontId="0" fillId="2" borderId="0" xfId="0" applyFill="1"/>
    <xf numFmtId="2" fontId="0" fillId="2" borderId="0" xfId="0" applyNumberFormat="1" applyFill="1" applyAlignment="1">
      <alignment horizontal="center"/>
    </xf>
    <xf numFmtId="0" fontId="4" fillId="0" borderId="0" xfId="0" applyFont="1" applyFill="1" applyAlignment="1"/>
    <xf numFmtId="2" fontId="4" fillId="0" borderId="0" xfId="0" applyNumberFormat="1" applyFont="1" applyFill="1" applyBorder="1" applyAlignment="1">
      <alignment horizontal="center" vertical="top" wrapText="1"/>
    </xf>
    <xf numFmtId="0" fontId="0" fillId="3" borderId="0" xfId="0" applyFill="1"/>
    <xf numFmtId="0" fontId="0" fillId="3" borderId="0" xfId="0" applyFill="1" applyBorder="1"/>
    <xf numFmtId="0" fontId="0" fillId="3" borderId="0" xfId="0"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right"/>
    </xf>
    <xf numFmtId="0" fontId="0" fillId="3" borderId="0" xfId="0" applyFill="1" applyAlignment="1">
      <alignment horizontal="left"/>
    </xf>
    <xf numFmtId="0" fontId="73" fillId="3" borderId="0" xfId="0" applyFont="1" applyFill="1" applyBorder="1"/>
    <xf numFmtId="2" fontId="4" fillId="3" borderId="0" xfId="0" applyNumberFormat="1" applyFont="1" applyFill="1" applyBorder="1" applyAlignment="1">
      <alignment horizontal="right"/>
    </xf>
    <xf numFmtId="0" fontId="4" fillId="3" borderId="0" xfId="0" applyFont="1" applyFill="1" applyBorder="1"/>
    <xf numFmtId="2" fontId="4" fillId="3" borderId="0" xfId="0" applyNumberFormat="1" applyFont="1" applyFill="1" applyBorder="1" applyAlignment="1">
      <alignment horizontal="center"/>
    </xf>
    <xf numFmtId="0" fontId="88" fillId="3" borderId="0" xfId="0" applyFont="1" applyFill="1" applyBorder="1" applyAlignment="1">
      <alignment horizontal="center"/>
    </xf>
    <xf numFmtId="0" fontId="76" fillId="0" borderId="0" xfId="0" applyFont="1" applyFill="1"/>
    <xf numFmtId="0" fontId="0" fillId="0" borderId="0" xfId="0" applyFill="1" applyAlignment="1">
      <alignment horizontal="right"/>
    </xf>
    <xf numFmtId="0" fontId="77" fillId="0" borderId="0" xfId="0" applyFont="1" applyFill="1"/>
    <xf numFmtId="2" fontId="0" fillId="0" borderId="4" xfId="0" applyNumberFormat="1" applyFill="1" applyBorder="1"/>
    <xf numFmtId="168" fontId="0" fillId="0" borderId="0" xfId="0" applyNumberFormat="1" applyFill="1" applyBorder="1" applyAlignment="1">
      <alignment horizontal="center"/>
    </xf>
    <xf numFmtId="0" fontId="81" fillId="0" borderId="0" xfId="0" applyFont="1" applyFill="1"/>
    <xf numFmtId="0" fontId="73" fillId="0" borderId="0" xfId="0" applyFont="1" applyFill="1" applyAlignment="1">
      <alignment horizontal="left"/>
    </xf>
    <xf numFmtId="0" fontId="73" fillId="0" borderId="0" xfId="0" applyFont="1" applyFill="1" applyBorder="1"/>
    <xf numFmtId="0" fontId="2" fillId="0" borderId="0" xfId="0" applyFont="1" applyFill="1" applyBorder="1"/>
    <xf numFmtId="0" fontId="81" fillId="0" borderId="0" xfId="0" applyFont="1" applyFill="1" applyBorder="1"/>
    <xf numFmtId="0" fontId="73" fillId="0" borderId="0" xfId="0" applyFont="1" applyFill="1" applyBorder="1" applyAlignment="1">
      <alignment horizontal="left"/>
    </xf>
    <xf numFmtId="2" fontId="0" fillId="0" borderId="4" xfId="0" applyNumberFormat="1" applyFill="1" applyBorder="1" applyAlignment="1">
      <alignment horizontal="right"/>
    </xf>
    <xf numFmtId="0" fontId="70" fillId="0" borderId="0" xfId="0" applyFont="1" applyFill="1" applyBorder="1" applyAlignment="1">
      <alignment horizontal="left"/>
    </xf>
    <xf numFmtId="0" fontId="0" fillId="3" borderId="0" xfId="0" applyFill="1" applyBorder="1" applyAlignment="1">
      <alignment horizontal="center"/>
    </xf>
    <xf numFmtId="0" fontId="4" fillId="3" borderId="0" xfId="0" applyFont="1" applyFill="1" applyBorder="1" applyAlignment="1">
      <alignment horizontal="center"/>
    </xf>
    <xf numFmtId="2" fontId="4" fillId="3" borderId="0" xfId="0" applyNumberFormat="1" applyFont="1" applyFill="1" applyBorder="1" applyAlignment="1">
      <alignment horizontal="center"/>
    </xf>
    <xf numFmtId="2" fontId="0" fillId="3" borderId="0" xfId="0" applyNumberFormat="1" applyFill="1" applyBorder="1" applyAlignment="1">
      <alignment horizontal="center"/>
    </xf>
    <xf numFmtId="0" fontId="84" fillId="0" borderId="0" xfId="0" applyFont="1" applyFill="1"/>
    <xf numFmtId="167" fontId="72" fillId="0" borderId="0" xfId="0" applyNumberFormat="1" applyFont="1" applyFill="1" applyAlignment="1">
      <alignment horizontal="right" vertical="center"/>
    </xf>
    <xf numFmtId="0" fontId="2" fillId="0" borderId="0" xfId="0" applyFont="1" applyFill="1" applyAlignment="1">
      <alignment horizontal="left"/>
    </xf>
    <xf numFmtId="0" fontId="78" fillId="0" borderId="0" xfId="0" applyFont="1" applyFill="1" applyBorder="1" applyAlignment="1">
      <alignment vertical="center"/>
    </xf>
    <xf numFmtId="2" fontId="72" fillId="0" borderId="0" xfId="0" applyNumberFormat="1" applyFont="1" applyFill="1" applyBorder="1" applyAlignment="1">
      <alignment horizontal="center" vertical="center"/>
    </xf>
    <xf numFmtId="167" fontId="0" fillId="0" borderId="0" xfId="0" applyNumberFormat="1" applyFill="1" applyBorder="1"/>
    <xf numFmtId="2" fontId="2" fillId="0" borderId="0" xfId="0" applyNumberFormat="1" applyFont="1" applyFill="1" applyAlignment="1">
      <alignment horizontal="right"/>
    </xf>
    <xf numFmtId="2" fontId="72" fillId="0" borderId="0" xfId="0" applyNumberFormat="1" applyFont="1" applyFill="1" applyAlignment="1">
      <alignment horizontal="right" vertical="center"/>
    </xf>
    <xf numFmtId="167" fontId="78" fillId="0" borderId="0" xfId="0" applyNumberFormat="1" applyFont="1" applyFill="1" applyBorder="1" applyAlignment="1">
      <alignment horizontal="right" vertical="center"/>
    </xf>
    <xf numFmtId="0" fontId="2" fillId="0" borderId="0" xfId="0" applyFont="1" applyFill="1" applyBorder="1" applyAlignment="1"/>
    <xf numFmtId="167" fontId="81" fillId="0" borderId="0" xfId="0" applyNumberFormat="1" applyFont="1" applyFill="1" applyAlignment="1">
      <alignment horizontal="right"/>
    </xf>
    <xf numFmtId="167" fontId="72" fillId="0" borderId="0" xfId="0" applyNumberFormat="1" applyFont="1" applyFill="1" applyBorder="1" applyAlignment="1">
      <alignment horizontal="right" vertical="center"/>
    </xf>
    <xf numFmtId="2" fontId="72" fillId="0" borderId="0" xfId="0" applyNumberFormat="1" applyFont="1" applyFill="1" applyBorder="1" applyAlignment="1">
      <alignment horizontal="right" vertical="center"/>
    </xf>
    <xf numFmtId="0" fontId="2" fillId="0" borderId="0" xfId="0" applyFont="1" applyFill="1" applyBorder="1" applyAlignment="1">
      <alignment horizontal="left"/>
    </xf>
    <xf numFmtId="167" fontId="77" fillId="0" borderId="0" xfId="0" applyNumberFormat="1" applyFont="1" applyFill="1" applyBorder="1" applyAlignment="1">
      <alignment horizontal="right" vertical="center"/>
    </xf>
    <xf numFmtId="167" fontId="78" fillId="0" borderId="4" xfId="0" applyNumberFormat="1" applyFont="1" applyFill="1" applyBorder="1" applyAlignment="1">
      <alignment horizontal="right" vertical="center"/>
    </xf>
    <xf numFmtId="2" fontId="2" fillId="0" borderId="0" xfId="0" applyNumberFormat="1" applyFont="1" applyFill="1"/>
    <xf numFmtId="0" fontId="81" fillId="0" borderId="0" xfId="0" applyFont="1" applyFill="1" applyAlignment="1">
      <alignment wrapText="1"/>
    </xf>
    <xf numFmtId="167" fontId="2" fillId="0" borderId="0" xfId="0" applyNumberFormat="1" applyFont="1" applyFill="1" applyAlignment="1">
      <alignment horizontal="right"/>
    </xf>
    <xf numFmtId="2" fontId="77" fillId="0" borderId="0" xfId="0" applyNumberFormat="1" applyFont="1" applyFill="1" applyBorder="1" applyAlignment="1">
      <alignment horizontal="right" vertical="center"/>
    </xf>
    <xf numFmtId="0" fontId="84" fillId="0" borderId="0" xfId="0" applyFont="1" applyFill="1" applyAlignment="1">
      <alignment horizontal="left"/>
    </xf>
    <xf numFmtId="2" fontId="77" fillId="0" borderId="0" xfId="0" applyNumberFormat="1" applyFont="1" applyFill="1" applyAlignment="1">
      <alignment horizontal="right" vertical="center"/>
    </xf>
    <xf numFmtId="2" fontId="72" fillId="0" borderId="0" xfId="0" applyNumberFormat="1" applyFont="1" applyFill="1" applyBorder="1" applyAlignment="1">
      <alignment horizontal="left" vertical="center"/>
    </xf>
    <xf numFmtId="2" fontId="0" fillId="0" borderId="5" xfId="0" applyNumberFormat="1" applyFill="1" applyBorder="1" applyAlignment="1">
      <alignment horizontal="right" vertical="center"/>
    </xf>
    <xf numFmtId="0" fontId="0" fillId="0" borderId="0" xfId="0" applyFill="1" applyAlignment="1">
      <alignment horizontal="right" vertical="center"/>
    </xf>
    <xf numFmtId="2" fontId="0" fillId="0" borderId="0" xfId="0" applyNumberFormat="1" applyFill="1" applyAlignment="1">
      <alignment horizontal="right" vertical="center"/>
    </xf>
    <xf numFmtId="2" fontId="0" fillId="0" borderId="0" xfId="0" applyNumberFormat="1" applyFill="1" applyBorder="1" applyAlignment="1">
      <alignment horizontal="right"/>
    </xf>
    <xf numFmtId="0" fontId="70" fillId="0" borderId="0" xfId="0" applyFont="1" applyFill="1" applyBorder="1" applyAlignment="1">
      <alignment horizontal="left"/>
    </xf>
    <xf numFmtId="2" fontId="69" fillId="0" borderId="0" xfId="0" applyNumberFormat="1" applyFont="1" applyFill="1" applyBorder="1" applyAlignment="1">
      <alignment horizontal="right" vertical="center"/>
    </xf>
    <xf numFmtId="0" fontId="70" fillId="0" borderId="0" xfId="0" applyFont="1" applyFill="1" applyAlignment="1">
      <alignment horizontal="left"/>
    </xf>
    <xf numFmtId="168" fontId="0" fillId="0" borderId="0" xfId="0" applyNumberFormat="1" applyFill="1" applyAlignment="1">
      <alignment horizontal="center" vertical="center"/>
    </xf>
    <xf numFmtId="0" fontId="69" fillId="0" borderId="0" xfId="0" applyFont="1" applyFill="1"/>
    <xf numFmtId="2" fontId="2" fillId="0" borderId="0" xfId="0" applyNumberFormat="1" applyFont="1" applyFill="1" applyBorder="1" applyAlignment="1">
      <alignment horizontal="right" vertical="center"/>
    </xf>
    <xf numFmtId="0" fontId="77" fillId="0" borderId="0" xfId="0" applyFont="1" applyFill="1" applyBorder="1" applyAlignment="1">
      <alignment vertical="center"/>
    </xf>
    <xf numFmtId="2" fontId="0" fillId="0" borderId="0" xfId="0" applyNumberFormat="1" applyFill="1" applyBorder="1" applyAlignment="1">
      <alignment horizontal="right" vertical="center"/>
    </xf>
    <xf numFmtId="168" fontId="70" fillId="0" borderId="0" xfId="0" applyNumberFormat="1" applyFont="1" applyFill="1" applyBorder="1" applyAlignment="1">
      <alignment horizontal="right" vertical="center"/>
    </xf>
    <xf numFmtId="2" fontId="2" fillId="0" borderId="5" xfId="0" applyNumberFormat="1" applyFont="1" applyFill="1" applyBorder="1" applyAlignment="1">
      <alignment horizontal="right" vertical="center"/>
    </xf>
    <xf numFmtId="2" fontId="81" fillId="0" borderId="0" xfId="0" applyNumberFormat="1" applyFont="1" applyFill="1" applyAlignment="1">
      <alignment horizontal="right"/>
    </xf>
    <xf numFmtId="0" fontId="2" fillId="0" borderId="0" xfId="0" applyFont="1" applyFill="1" applyAlignment="1"/>
    <xf numFmtId="2" fontId="70" fillId="0" borderId="0" xfId="0" applyNumberFormat="1" applyFont="1" applyFill="1" applyBorder="1" applyAlignment="1">
      <alignment horizontal="right" vertical="center"/>
    </xf>
    <xf numFmtId="2" fontId="81" fillId="0" borderId="0" xfId="0" applyNumberFormat="1" applyFont="1" applyFill="1" applyBorder="1" applyAlignment="1">
      <alignment horizontal="right"/>
    </xf>
    <xf numFmtId="0" fontId="88" fillId="0" borderId="0" xfId="0" applyFont="1" applyFill="1" applyBorder="1" applyAlignment="1">
      <alignment horizontal="center"/>
    </xf>
    <xf numFmtId="2" fontId="4" fillId="0" borderId="4" xfId="0" applyNumberFormat="1" applyFont="1" applyFill="1" applyBorder="1" applyAlignment="1">
      <alignment horizontal="right"/>
    </xf>
    <xf numFmtId="168" fontId="4" fillId="0" borderId="0" xfId="0" applyNumberFormat="1" applyFont="1" applyFill="1" applyBorder="1" applyAlignment="1">
      <alignment horizontal="center"/>
    </xf>
    <xf numFmtId="2" fontId="78" fillId="0" borderId="0" xfId="0" applyNumberFormat="1" applyFont="1" applyFill="1" applyBorder="1" applyAlignment="1">
      <alignment horizontal="right"/>
    </xf>
    <xf numFmtId="2" fontId="81" fillId="0" borderId="0" xfId="0" applyNumberFormat="1" applyFont="1" applyFill="1" applyBorder="1" applyAlignment="1">
      <alignment horizontal="right" vertical="center"/>
    </xf>
    <xf numFmtId="0" fontId="35" fillId="0" borderId="4" xfId="0" applyFont="1" applyFill="1" applyBorder="1" applyAlignment="1">
      <alignment horizontal="center" vertical="center"/>
    </xf>
    <xf numFmtId="0" fontId="83" fillId="0" borderId="6" xfId="0" applyFont="1" applyFill="1" applyBorder="1" applyAlignment="1">
      <alignment horizontal="center"/>
    </xf>
    <xf numFmtId="0" fontId="83" fillId="0" borderId="6" xfId="0" applyFont="1" applyFill="1" applyBorder="1" applyAlignment="1">
      <alignment horizontal="right"/>
    </xf>
    <xf numFmtId="0" fontId="83" fillId="0" borderId="2" xfId="0" applyFont="1" applyFill="1" applyBorder="1" applyAlignment="1">
      <alignment horizontal="left"/>
    </xf>
    <xf numFmtId="0" fontId="76" fillId="0" borderId="0" xfId="0" applyFont="1" applyFill="1" applyAlignment="1">
      <alignment vertical="center"/>
    </xf>
    <xf numFmtId="0" fontId="89" fillId="0" borderId="0" xfId="0" applyFont="1" applyFill="1" applyAlignment="1">
      <alignment vertical="center"/>
    </xf>
    <xf numFmtId="0" fontId="77" fillId="0" borderId="0" xfId="0" applyFont="1" applyFill="1" applyAlignment="1">
      <alignment vertical="center"/>
    </xf>
    <xf numFmtId="0" fontId="69" fillId="0" borderId="0" xfId="0" applyFont="1" applyFill="1" applyAlignment="1">
      <alignment horizontal="center"/>
    </xf>
    <xf numFmtId="0" fontId="78" fillId="0" borderId="0" xfId="0" applyFont="1" applyFill="1" applyAlignment="1">
      <alignment vertical="center"/>
    </xf>
    <xf numFmtId="0" fontId="4" fillId="0" borderId="0" xfId="6" applyFont="1" applyFill="1" applyBorder="1" applyAlignment="1">
      <alignment horizontal="center"/>
    </xf>
    <xf numFmtId="0" fontId="77" fillId="0" borderId="0" xfId="0" applyFont="1" applyFill="1" applyAlignment="1">
      <alignment horizontal="left" vertical="center"/>
    </xf>
    <xf numFmtId="0" fontId="78" fillId="0" borderId="0" xfId="0" applyFont="1" applyFill="1" applyAlignment="1"/>
    <xf numFmtId="167" fontId="4" fillId="0" borderId="0" xfId="0" applyNumberFormat="1" applyFont="1" applyFill="1" applyAlignment="1">
      <alignment horizontal="center"/>
    </xf>
    <xf numFmtId="0" fontId="4" fillId="0" borderId="0" xfId="6" applyFont="1" applyFill="1" applyBorder="1" applyAlignment="1">
      <alignment horizontal="left"/>
    </xf>
    <xf numFmtId="0" fontId="2" fillId="0" borderId="0" xfId="6" applyFont="1" applyFill="1" applyBorder="1" applyAlignment="1">
      <alignment horizontal="left"/>
    </xf>
    <xf numFmtId="0" fontId="90" fillId="0" borderId="0" xfId="0" applyFont="1" applyFill="1" applyAlignment="1"/>
    <xf numFmtId="0" fontId="81" fillId="0" borderId="0" xfId="0" applyFont="1" applyFill="1" applyAlignment="1">
      <alignment horizontal="center"/>
    </xf>
    <xf numFmtId="0" fontId="91" fillId="0" borderId="0" xfId="0" applyFont="1" applyFill="1" applyAlignment="1"/>
    <xf numFmtId="2" fontId="4" fillId="0" borderId="0" xfId="0" applyNumberFormat="1" applyFont="1" applyFill="1" applyBorder="1" applyAlignment="1">
      <alignment horizontal="right" vertical="center"/>
    </xf>
    <xf numFmtId="0" fontId="73" fillId="0" borderId="0" xfId="0" applyFont="1" applyFill="1" applyAlignment="1">
      <alignment horizontal="center"/>
    </xf>
    <xf numFmtId="0" fontId="83" fillId="0" borderId="0" xfId="0" applyFont="1" applyFill="1" applyBorder="1" applyAlignment="1">
      <alignment horizontal="center"/>
    </xf>
    <xf numFmtId="0" fontId="83" fillId="0" borderId="0" xfId="0" applyFont="1" applyFill="1" applyBorder="1" applyAlignment="1">
      <alignment horizontal="right"/>
    </xf>
    <xf numFmtId="0" fontId="83" fillId="0" borderId="0" xfId="0" applyFont="1" applyFill="1" applyBorder="1" applyAlignment="1">
      <alignment horizontal="left"/>
    </xf>
    <xf numFmtId="0" fontId="4" fillId="0" borderId="0" xfId="0" applyFont="1" applyFill="1" applyAlignment="1">
      <alignment horizontal="right"/>
    </xf>
    <xf numFmtId="0" fontId="2" fillId="0" borderId="0" xfId="0" applyFont="1" applyFill="1" applyAlignment="1">
      <alignment horizontal="right"/>
    </xf>
    <xf numFmtId="168" fontId="4" fillId="0" borderId="0" xfId="0" applyNumberFormat="1" applyFont="1" applyFill="1" applyAlignment="1">
      <alignment horizontal="right"/>
    </xf>
    <xf numFmtId="0" fontId="70" fillId="0" borderId="0" xfId="0" applyFont="1" applyFill="1" applyAlignment="1"/>
    <xf numFmtId="0" fontId="69" fillId="0" borderId="0" xfId="0" applyFont="1" applyFill="1" applyBorder="1" applyAlignment="1">
      <alignment horizontal="center"/>
    </xf>
    <xf numFmtId="0" fontId="77" fillId="0" borderId="0" xfId="0" applyFont="1" applyFill="1" applyBorder="1" applyAlignment="1">
      <alignment horizontal="left" vertical="center"/>
    </xf>
    <xf numFmtId="0" fontId="0" fillId="0" borderId="0" xfId="0" applyFill="1" applyBorder="1" applyAlignment="1">
      <alignment horizontal="right" vertical="center"/>
    </xf>
    <xf numFmtId="2" fontId="78" fillId="0" borderId="0" xfId="0" applyNumberFormat="1" applyFont="1" applyFill="1" applyBorder="1" applyAlignment="1">
      <alignment horizontal="right" vertical="center"/>
    </xf>
    <xf numFmtId="168" fontId="0" fillId="0" borderId="0" xfId="0" applyNumberFormat="1" applyFill="1"/>
    <xf numFmtId="2" fontId="0" fillId="0" borderId="4" xfId="0" applyNumberFormat="1" applyFill="1" applyBorder="1" applyAlignment="1">
      <alignment horizontal="right" vertical="center"/>
    </xf>
    <xf numFmtId="4" fontId="4" fillId="0" borderId="0" xfId="0" applyNumberFormat="1" applyFont="1" applyFill="1" applyBorder="1" applyAlignment="1">
      <alignment vertical="center"/>
    </xf>
    <xf numFmtId="4" fontId="4" fillId="0" borderId="4" xfId="0" applyNumberFormat="1" applyFont="1" applyFill="1" applyBorder="1" applyAlignment="1">
      <alignment vertical="center"/>
    </xf>
    <xf numFmtId="2" fontId="78" fillId="0" borderId="0" xfId="0" applyNumberFormat="1" applyFont="1" applyFill="1" applyAlignment="1">
      <alignment horizontal="right" vertical="center"/>
    </xf>
    <xf numFmtId="2" fontId="78" fillId="0" borderId="4" xfId="0" applyNumberFormat="1" applyFont="1" applyFill="1" applyBorder="1" applyAlignment="1">
      <alignment horizontal="right" vertical="center"/>
    </xf>
    <xf numFmtId="2" fontId="4" fillId="0" borderId="0" xfId="6" applyNumberFormat="1" applyFont="1" applyFill="1" applyBorder="1" applyAlignment="1">
      <alignment horizontal="right"/>
    </xf>
    <xf numFmtId="0" fontId="78" fillId="0" borderId="0" xfId="0" applyFont="1" applyFill="1"/>
    <xf numFmtId="2" fontId="4" fillId="0" borderId="4" xfId="6" applyNumberFormat="1" applyFont="1" applyFill="1" applyBorder="1" applyAlignment="1">
      <alignment horizontal="right"/>
    </xf>
    <xf numFmtId="167" fontId="72" fillId="0" borderId="0" xfId="0" applyNumberFormat="1" applyFont="1" applyFill="1" applyBorder="1" applyAlignment="1">
      <alignment horizontal="right"/>
    </xf>
    <xf numFmtId="2" fontId="72" fillId="0" borderId="0" xfId="0" applyNumberFormat="1" applyFont="1" applyFill="1" applyAlignment="1">
      <alignment horizontal="right"/>
    </xf>
    <xf numFmtId="2" fontId="70" fillId="0" borderId="0" xfId="0" applyNumberFormat="1" applyFont="1" applyFill="1" applyBorder="1" applyAlignment="1">
      <alignment horizontal="right"/>
    </xf>
    <xf numFmtId="168" fontId="0" fillId="0" borderId="4" xfId="0" applyNumberFormat="1" applyFill="1" applyBorder="1"/>
    <xf numFmtId="168" fontId="81" fillId="0" borderId="0" xfId="0" applyNumberFormat="1" applyFont="1" applyFill="1" applyBorder="1" applyAlignment="1">
      <alignment horizontal="right"/>
    </xf>
    <xf numFmtId="2" fontId="4" fillId="0" borderId="0" xfId="0" applyNumberFormat="1" applyFont="1" applyFill="1" applyAlignment="1">
      <alignment horizontal="right" vertical="center"/>
    </xf>
    <xf numFmtId="0" fontId="84" fillId="0" borderId="0" xfId="0" applyFont="1" applyFill="1" applyBorder="1" applyAlignment="1">
      <alignment horizontal="left"/>
    </xf>
    <xf numFmtId="0" fontId="84" fillId="0" borderId="0" xfId="0" applyFont="1" applyFill="1" applyAlignment="1">
      <alignment wrapText="1"/>
    </xf>
    <xf numFmtId="0" fontId="2" fillId="0" borderId="0" xfId="0" applyFont="1" applyFill="1" applyAlignment="1">
      <alignment wrapText="1"/>
    </xf>
    <xf numFmtId="0" fontId="70" fillId="0" borderId="0" xfId="0" applyFont="1" applyFill="1" applyBorder="1" applyAlignment="1">
      <alignment horizontal="center"/>
    </xf>
    <xf numFmtId="0" fontId="69" fillId="0" borderId="0" xfId="0" applyFont="1" applyFill="1" applyBorder="1"/>
    <xf numFmtId="2" fontId="72" fillId="0" borderId="0" xfId="0" applyNumberFormat="1" applyFont="1" applyFill="1"/>
    <xf numFmtId="0" fontId="81" fillId="0" borderId="0" xfId="0" applyFont="1" applyFill="1" applyBorder="1" applyAlignment="1">
      <alignment horizontal="left" vertical="center"/>
    </xf>
    <xf numFmtId="4" fontId="81" fillId="0" borderId="0" xfId="0" applyNumberFormat="1" applyFont="1" applyFill="1" applyBorder="1" applyAlignment="1">
      <alignment vertical="center"/>
    </xf>
    <xf numFmtId="0" fontId="4" fillId="0" borderId="0" xfId="0" applyFont="1" applyFill="1" applyBorder="1" applyAlignment="1">
      <alignment vertical="center"/>
    </xf>
    <xf numFmtId="0" fontId="84" fillId="0" borderId="0" xfId="0" applyFont="1" applyFill="1" applyAlignment="1"/>
    <xf numFmtId="0" fontId="84" fillId="0" borderId="0" xfId="0" applyFont="1" applyFill="1" applyAlignment="1">
      <alignment horizontal="left" wrapText="1"/>
    </xf>
    <xf numFmtId="0" fontId="4" fillId="0" borderId="0" xfId="0" applyFont="1" applyFill="1" applyBorder="1" applyAlignment="1">
      <alignment horizontal="justify" vertical="center" wrapText="1"/>
    </xf>
    <xf numFmtId="0" fontId="73" fillId="0" borderId="0" xfId="0" applyFont="1" applyFill="1" applyBorder="1" applyAlignment="1">
      <alignment horizontal="justify" vertical="top" wrapText="1"/>
    </xf>
    <xf numFmtId="168" fontId="4" fillId="0" borderId="0" xfId="6" applyNumberFormat="1" applyFont="1" applyFill="1" applyBorder="1" applyAlignment="1">
      <alignment horizontal="center"/>
    </xf>
    <xf numFmtId="168" fontId="0" fillId="0" borderId="0" xfId="0" applyNumberFormat="1" applyFill="1" applyBorder="1" applyAlignment="1">
      <alignment horizontal="center" vertical="center"/>
    </xf>
    <xf numFmtId="168" fontId="70" fillId="0" borderId="0" xfId="0" applyNumberFormat="1" applyFont="1" applyFill="1" applyAlignment="1">
      <alignment horizontal="center"/>
    </xf>
    <xf numFmtId="168" fontId="0" fillId="0" borderId="4" xfId="0" applyNumberFormat="1" applyFill="1" applyBorder="1" applyAlignment="1">
      <alignment horizontal="center"/>
    </xf>
    <xf numFmtId="168" fontId="77" fillId="0" borderId="0" xfId="0" applyNumberFormat="1" applyFont="1" applyFill="1" applyAlignment="1">
      <alignment horizontal="center" vertical="center"/>
    </xf>
    <xf numFmtId="168" fontId="92" fillId="0" borderId="0" xfId="0" applyNumberFormat="1" applyFont="1" applyFill="1" applyAlignment="1">
      <alignment horizontal="center"/>
    </xf>
    <xf numFmtId="168" fontId="72" fillId="0" borderId="0" xfId="0" applyNumberFormat="1" applyFont="1" applyFill="1" applyAlignment="1">
      <alignment horizontal="center"/>
    </xf>
    <xf numFmtId="168" fontId="2" fillId="0" borderId="0" xfId="0" applyNumberFormat="1" applyFont="1" applyFill="1" applyBorder="1" applyAlignment="1">
      <alignment horizontal="center"/>
    </xf>
    <xf numFmtId="168" fontId="2" fillId="0" borderId="0" xfId="0" applyNumberFormat="1" applyFont="1" applyFill="1"/>
    <xf numFmtId="168" fontId="4" fillId="0" borderId="4" xfId="0" applyNumberFormat="1" applyFont="1" applyFill="1" applyBorder="1" applyAlignment="1">
      <alignment horizontal="right"/>
    </xf>
    <xf numFmtId="168" fontId="4" fillId="0" borderId="0" xfId="0" applyNumberFormat="1" applyFont="1" applyFill="1" applyBorder="1" applyAlignment="1">
      <alignment horizontal="right" vertical="center"/>
    </xf>
    <xf numFmtId="2" fontId="72" fillId="0" borderId="0" xfId="0" applyNumberFormat="1" applyFont="1" applyFill="1" applyBorder="1" applyAlignment="1">
      <alignment horizontal="right"/>
    </xf>
    <xf numFmtId="4" fontId="80" fillId="0" borderId="0" xfId="0" applyNumberFormat="1" applyFont="1" applyFill="1" applyBorder="1" applyAlignment="1">
      <alignment vertical="center"/>
    </xf>
    <xf numFmtId="0" fontId="2" fillId="0" borderId="0" xfId="0" applyFont="1" applyFill="1" applyBorder="1" applyAlignment="1">
      <alignment horizontal="left" vertical="center"/>
    </xf>
    <xf numFmtId="164" fontId="4" fillId="0" borderId="0" xfId="1" applyFont="1" applyFill="1" applyBorder="1" applyAlignment="1">
      <alignment horizontal="center" vertical="center"/>
    </xf>
    <xf numFmtId="4" fontId="0" fillId="0" borderId="0" xfId="0" applyNumberFormat="1" applyFill="1"/>
    <xf numFmtId="2" fontId="73" fillId="0" borderId="0" xfId="0" applyNumberFormat="1" applyFont="1" applyFill="1" applyAlignment="1">
      <alignment horizontal="right"/>
    </xf>
    <xf numFmtId="4" fontId="81" fillId="0" borderId="0" xfId="0" applyNumberFormat="1" applyFont="1" applyFill="1"/>
    <xf numFmtId="0" fontId="70" fillId="0" borderId="0" xfId="0" applyFont="1" applyFill="1" applyBorder="1" applyAlignment="1">
      <alignment horizontal="left"/>
    </xf>
    <xf numFmtId="0" fontId="89" fillId="0" borderId="0" xfId="0" applyFont="1" applyFill="1"/>
    <xf numFmtId="0" fontId="0" fillId="0" borderId="0" xfId="0" applyFont="1" applyFill="1" applyBorder="1" applyAlignment="1">
      <alignment horizontal="right"/>
    </xf>
    <xf numFmtId="167" fontId="0" fillId="0" borderId="0" xfId="0" applyNumberFormat="1" applyFill="1" applyBorder="1" applyAlignment="1">
      <alignment horizontal="right"/>
    </xf>
    <xf numFmtId="2" fontId="0" fillId="0" borderId="0" xfId="0" applyNumberFormat="1" applyFill="1" applyAlignment="1"/>
    <xf numFmtId="0" fontId="81" fillId="0" borderId="0" xfId="0" applyFont="1" applyFill="1" applyAlignment="1">
      <alignment horizontal="left"/>
    </xf>
    <xf numFmtId="2" fontId="4" fillId="0" borderId="0" xfId="0" applyNumberFormat="1" applyFont="1" applyFill="1" applyBorder="1"/>
    <xf numFmtId="2" fontId="4" fillId="0" borderId="4" xfId="0" applyNumberFormat="1" applyFont="1" applyFill="1" applyBorder="1"/>
    <xf numFmtId="2" fontId="2" fillId="0" borderId="0" xfId="0" applyNumberFormat="1" applyFont="1" applyFill="1" applyBorder="1"/>
    <xf numFmtId="2" fontId="78" fillId="0" borderId="0" xfId="0" applyNumberFormat="1" applyFont="1" applyFill="1" applyBorder="1" applyAlignment="1">
      <alignment horizontal="center" vertical="center"/>
    </xf>
    <xf numFmtId="0" fontId="0" fillId="0" borderId="0" xfId="0" applyFill="1" applyBorder="1" applyAlignment="1"/>
    <xf numFmtId="2" fontId="0" fillId="0" borderId="0" xfId="0" applyNumberFormat="1" applyFill="1" applyBorder="1" applyAlignment="1"/>
    <xf numFmtId="2" fontId="2" fillId="0" borderId="0" xfId="0" applyNumberFormat="1" applyFont="1" applyFill="1" applyBorder="1" applyAlignment="1"/>
    <xf numFmtId="2" fontId="72" fillId="0" borderId="0" xfId="0" applyNumberFormat="1" applyFont="1" applyFill="1" applyBorder="1"/>
    <xf numFmtId="2" fontId="71" fillId="0" borderId="0" xfId="0" applyNumberFormat="1" applyFont="1" applyFill="1" applyBorder="1"/>
    <xf numFmtId="2" fontId="4" fillId="0" borderId="4" xfId="0" applyNumberFormat="1" applyFont="1" applyFill="1" applyBorder="1" applyAlignment="1">
      <alignment horizontal="right" vertical="center"/>
    </xf>
    <xf numFmtId="167" fontId="78" fillId="0" borderId="0" xfId="0" applyNumberFormat="1" applyFont="1" applyFill="1" applyAlignment="1">
      <alignment horizontal="right" vertical="center"/>
    </xf>
    <xf numFmtId="168" fontId="0" fillId="0" borderId="0" xfId="0" applyNumberFormat="1" applyFill="1" applyBorder="1" applyAlignment="1">
      <alignment horizontal="right" vertical="center"/>
    </xf>
    <xf numFmtId="168" fontId="0" fillId="0" borderId="4" xfId="0" applyNumberFormat="1" applyFill="1" applyBorder="1" applyAlignment="1">
      <alignment horizontal="right" vertical="center"/>
    </xf>
    <xf numFmtId="168" fontId="4" fillId="0" borderId="0" xfId="0" applyNumberFormat="1" applyFont="1" applyFill="1" applyBorder="1" applyAlignment="1">
      <alignment horizontal="right"/>
    </xf>
    <xf numFmtId="168" fontId="4" fillId="0" borderId="4" xfId="0" applyNumberFormat="1" applyFont="1" applyFill="1" applyBorder="1" applyAlignment="1">
      <alignment horizontal="right" vertical="center"/>
    </xf>
    <xf numFmtId="2" fontId="4" fillId="0" borderId="0" xfId="6" applyNumberFormat="1" applyFont="1" applyFill="1" applyBorder="1" applyAlignment="1">
      <alignment horizontal="center"/>
    </xf>
    <xf numFmtId="167" fontId="73" fillId="0" borderId="0" xfId="0" applyNumberFormat="1" applyFont="1" applyFill="1" applyBorder="1"/>
    <xf numFmtId="0" fontId="69" fillId="0" borderId="0" xfId="0" applyFont="1" applyFill="1" applyAlignment="1"/>
    <xf numFmtId="0" fontId="32" fillId="0" borderId="0" xfId="0" applyFont="1" applyFill="1" applyAlignment="1">
      <alignment vertical="center"/>
    </xf>
    <xf numFmtId="0" fontId="14" fillId="0" borderId="0" xfId="0" applyFont="1" applyFill="1" applyBorder="1" applyAlignment="1">
      <alignment vertical="center"/>
    </xf>
    <xf numFmtId="0" fontId="0" fillId="4" borderId="0" xfId="0" applyFill="1"/>
    <xf numFmtId="0" fontId="2" fillId="4" borderId="0" xfId="0" applyFont="1" applyFill="1" applyAlignment="1">
      <alignment horizontal="center"/>
    </xf>
    <xf numFmtId="0" fontId="27" fillId="4" borderId="0" xfId="0" applyFont="1" applyFill="1" applyAlignment="1">
      <alignment horizontal="center" wrapText="1"/>
    </xf>
    <xf numFmtId="0" fontId="27" fillId="4" borderId="0" xfId="0" applyFont="1" applyFill="1" applyAlignment="1">
      <alignment horizontal="center" vertical="center"/>
    </xf>
    <xf numFmtId="0" fontId="27" fillId="4" borderId="0" xfId="0" applyFont="1" applyFill="1" applyAlignment="1">
      <alignment vertical="center"/>
    </xf>
    <xf numFmtId="0" fontId="2" fillId="4" borderId="0" xfId="0" applyFont="1" applyFill="1" applyBorder="1" applyAlignment="1">
      <alignment horizontal="center" vertical="top" wrapText="1"/>
    </xf>
    <xf numFmtId="0" fontId="27" fillId="4" borderId="0" xfId="0" applyFont="1" applyFill="1" applyBorder="1" applyAlignment="1">
      <alignment horizontal="justify" wrapText="1"/>
    </xf>
    <xf numFmtId="0" fontId="2" fillId="4" borderId="0" xfId="0" applyFont="1" applyFill="1" applyAlignment="1">
      <alignment horizontal="center" vertical="top"/>
    </xf>
    <xf numFmtId="0" fontId="4" fillId="4" borderId="0" xfId="0" applyFont="1" applyFill="1"/>
    <xf numFmtId="0" fontId="4" fillId="4" borderId="0" xfId="0" applyFont="1" applyFill="1" applyBorder="1" applyAlignment="1">
      <alignment horizontal="center" vertical="top" wrapText="1"/>
    </xf>
    <xf numFmtId="2" fontId="4" fillId="4" borderId="0" xfId="0" applyNumberFormat="1" applyFont="1" applyFill="1" applyBorder="1" applyAlignment="1">
      <alignment horizontal="center" vertical="top" wrapText="1"/>
    </xf>
    <xf numFmtId="167" fontId="4" fillId="4" borderId="0" xfId="0" applyNumberFormat="1" applyFont="1" applyFill="1" applyBorder="1" applyAlignment="1">
      <alignment horizontal="center" vertical="top" wrapText="1"/>
    </xf>
    <xf numFmtId="164" fontId="4" fillId="4" borderId="0" xfId="1" applyFont="1" applyFill="1" applyBorder="1" applyAlignment="1">
      <alignment horizontal="center" vertical="top" wrapText="1"/>
    </xf>
    <xf numFmtId="0" fontId="2" fillId="4" borderId="0" xfId="0" applyFont="1" applyFill="1" applyAlignment="1"/>
    <xf numFmtId="164" fontId="4" fillId="4" borderId="0" xfId="1" applyFont="1" applyFill="1" applyBorder="1" applyAlignment="1">
      <alignment horizontal="center"/>
    </xf>
    <xf numFmtId="0" fontId="4" fillId="4" borderId="0" xfId="0" applyFont="1" applyFill="1" applyAlignment="1">
      <alignment wrapText="1"/>
    </xf>
    <xf numFmtId="164" fontId="58" fillId="4" borderId="4" xfId="1" applyFont="1" applyFill="1" applyBorder="1" applyAlignment="1">
      <alignment horizontal="center"/>
    </xf>
    <xf numFmtId="164" fontId="2" fillId="4" borderId="0" xfId="1" applyFont="1" applyFill="1" applyAlignment="1">
      <alignment horizontal="center"/>
    </xf>
    <xf numFmtId="0" fontId="0" fillId="4" borderId="0" xfId="0" applyFill="1" applyAlignment="1">
      <alignment horizontal="center" vertical="top"/>
    </xf>
    <xf numFmtId="0" fontId="0" fillId="4" borderId="0" xfId="0" applyFill="1" applyAlignment="1">
      <alignment horizontal="center"/>
    </xf>
    <xf numFmtId="167" fontId="0" fillId="4" borderId="0" xfId="0" applyNumberFormat="1" applyFill="1" applyAlignment="1">
      <alignment horizontal="center"/>
    </xf>
    <xf numFmtId="0" fontId="41" fillId="4" borderId="0" xfId="0" applyFont="1" applyFill="1" applyBorder="1" applyAlignment="1">
      <alignment horizontal="left" wrapText="1"/>
    </xf>
    <xf numFmtId="0" fontId="93" fillId="4" borderId="0" xfId="0" applyFont="1" applyFill="1" applyBorder="1" applyAlignment="1">
      <alignment vertical="center"/>
    </xf>
    <xf numFmtId="164" fontId="58" fillId="4" borderId="0" xfId="1" applyFont="1" applyFill="1" applyAlignment="1">
      <alignment horizontal="center"/>
    </xf>
    <xf numFmtId="166" fontId="14" fillId="4" borderId="0" xfId="1" applyNumberFormat="1" applyFont="1" applyFill="1" applyBorder="1" applyAlignment="1">
      <alignment horizontal="right" wrapText="1"/>
    </xf>
    <xf numFmtId="166" fontId="14" fillId="4" borderId="0" xfId="1" applyNumberFormat="1" applyFont="1" applyFill="1" applyBorder="1" applyAlignment="1">
      <alignment vertical="center" wrapText="1"/>
    </xf>
    <xf numFmtId="0" fontId="42" fillId="4" borderId="0" xfId="0" applyFont="1" applyFill="1" applyBorder="1" applyAlignment="1">
      <alignment horizontal="center" vertical="top" wrapText="1"/>
    </xf>
    <xf numFmtId="0" fontId="16" fillId="4" borderId="0" xfId="0" applyFont="1" applyFill="1" applyBorder="1" applyAlignment="1">
      <alignment horizontal="center" vertical="top" wrapText="1"/>
    </xf>
    <xf numFmtId="0" fontId="42" fillId="4" borderId="0" xfId="0" applyFont="1" applyFill="1" applyBorder="1" applyAlignment="1">
      <alignment vertical="center" wrapText="1"/>
    </xf>
    <xf numFmtId="0" fontId="41" fillId="4" borderId="0" xfId="0" applyFont="1" applyFill="1" applyBorder="1" applyAlignment="1">
      <alignment horizontal="center" wrapText="1"/>
    </xf>
    <xf numFmtId="0" fontId="43" fillId="4" borderId="0" xfId="0" applyFont="1" applyFill="1" applyBorder="1" applyAlignment="1">
      <alignment horizontal="center" wrapText="1"/>
    </xf>
    <xf numFmtId="0" fontId="4" fillId="4" borderId="0" xfId="0" applyFont="1" applyFill="1" applyBorder="1" applyAlignment="1">
      <alignment horizontal="center" vertical="center" wrapText="1"/>
    </xf>
    <xf numFmtId="167" fontId="4" fillId="4" borderId="0" xfId="0" applyNumberFormat="1" applyFont="1" applyFill="1" applyBorder="1" applyAlignment="1">
      <alignment horizontal="center" wrapText="1"/>
    </xf>
    <xf numFmtId="164" fontId="4" fillId="4" borderId="0" xfId="1" applyFont="1" applyFill="1" applyBorder="1" applyAlignment="1">
      <alignment horizontal="center" vertical="center" wrapText="1"/>
    </xf>
    <xf numFmtId="164" fontId="0" fillId="4" borderId="0" xfId="0" applyNumberFormat="1" applyFill="1"/>
    <xf numFmtId="0" fontId="2" fillId="4" borderId="0" xfId="0" applyFont="1" applyFill="1" applyBorder="1" applyAlignment="1">
      <alignment horizontal="center" vertical="top"/>
    </xf>
    <xf numFmtId="164" fontId="94" fillId="4" borderId="0" xfId="1" applyFont="1" applyFill="1" applyBorder="1" applyAlignment="1">
      <alignment horizontal="center" vertical="center" wrapText="1"/>
    </xf>
    <xf numFmtId="0" fontId="27" fillId="4" borderId="0" xfId="0" applyFont="1" applyFill="1" applyBorder="1" applyAlignment="1">
      <alignment horizontal="left" wrapText="1"/>
    </xf>
    <xf numFmtId="0" fontId="44" fillId="4" borderId="0" xfId="0" applyFont="1" applyFill="1" applyBorder="1" applyAlignment="1">
      <alignment wrapText="1"/>
    </xf>
    <xf numFmtId="164" fontId="14" fillId="4" borderId="0" xfId="1" applyFont="1" applyFill="1" applyBorder="1" applyAlignment="1">
      <alignment horizontal="center" vertical="center" wrapText="1"/>
    </xf>
    <xf numFmtId="0" fontId="70" fillId="4" borderId="0" xfId="0" applyFont="1" applyFill="1" applyAlignment="1">
      <alignment horizontal="center"/>
    </xf>
    <xf numFmtId="0" fontId="70" fillId="4" borderId="0" xfId="0" applyFont="1" applyFill="1"/>
    <xf numFmtId="0" fontId="0" fillId="4" borderId="0" xfId="0" applyFill="1" applyAlignment="1">
      <alignment vertical="center"/>
    </xf>
    <xf numFmtId="2" fontId="0" fillId="4" borderId="0" xfId="0" applyNumberFormat="1" applyFill="1" applyAlignment="1">
      <alignment horizontal="center" vertical="center"/>
    </xf>
    <xf numFmtId="0" fontId="0" fillId="4" borderId="0" xfId="0" applyFill="1" applyAlignment="1">
      <alignment horizontal="center" vertical="center"/>
    </xf>
    <xf numFmtId="166" fontId="0" fillId="4" borderId="0" xfId="0" applyNumberFormat="1" applyFill="1"/>
    <xf numFmtId="0" fontId="0" fillId="4" borderId="0" xfId="0" applyFill="1" applyAlignment="1">
      <alignment wrapText="1"/>
    </xf>
    <xf numFmtId="0" fontId="4" fillId="4" borderId="0" xfId="0" applyFont="1" applyFill="1" applyAlignment="1">
      <alignment horizontal="center" vertical="top"/>
    </xf>
    <xf numFmtId="164" fontId="58" fillId="4" borderId="0" xfId="1" applyFont="1" applyFill="1" applyAlignment="1">
      <alignment horizontal="center" vertical="center"/>
    </xf>
    <xf numFmtId="164" fontId="27" fillId="4" borderId="0" xfId="0" applyNumberFormat="1" applyFont="1" applyFill="1"/>
    <xf numFmtId="166" fontId="70" fillId="4" borderId="0" xfId="0" applyNumberFormat="1" applyFont="1" applyFill="1"/>
    <xf numFmtId="0" fontId="0" fillId="4" borderId="0" xfId="0" applyFill="1" applyAlignment="1"/>
    <xf numFmtId="0" fontId="4" fillId="4" borderId="0" xfId="0" applyFont="1" applyFill="1" applyAlignment="1">
      <alignment horizontal="center"/>
    </xf>
    <xf numFmtId="0" fontId="47" fillId="4" borderId="0" xfId="0" applyFont="1" applyFill="1" applyAlignment="1">
      <alignment horizontal="center" vertical="top"/>
    </xf>
    <xf numFmtId="0" fontId="2" fillId="4" borderId="0" xfId="0" applyFont="1" applyFill="1" applyAlignment="1">
      <alignment vertical="top"/>
    </xf>
    <xf numFmtId="164" fontId="0" fillId="4" borderId="0" xfId="0" applyNumberFormat="1" applyFill="1" applyBorder="1"/>
    <xf numFmtId="0" fontId="4" fillId="4" borderId="0" xfId="0" applyFont="1" applyFill="1" applyAlignment="1"/>
    <xf numFmtId="164" fontId="0" fillId="4" borderId="4" xfId="0" applyNumberFormat="1" applyFill="1" applyBorder="1"/>
    <xf numFmtId="171" fontId="0" fillId="4" borderId="0" xfId="0" applyNumberFormat="1" applyFill="1"/>
    <xf numFmtId="43" fontId="0" fillId="4" borderId="0" xfId="0" applyNumberFormat="1" applyFill="1"/>
    <xf numFmtId="164" fontId="0" fillId="4" borderId="4" xfId="0" applyNumberFormat="1" applyFill="1" applyBorder="1" applyAlignment="1"/>
    <xf numFmtId="164" fontId="95" fillId="4" borderId="0" xfId="0" applyNumberFormat="1" applyFont="1" applyFill="1"/>
    <xf numFmtId="0" fontId="48" fillId="0" borderId="0" xfId="0" applyFont="1" applyFill="1" applyBorder="1" applyAlignment="1">
      <alignment vertical="center"/>
    </xf>
    <xf numFmtId="0" fontId="42" fillId="0" borderId="0" xfId="0" applyFont="1" applyFill="1" applyBorder="1" applyAlignment="1">
      <alignment horizontal="center" vertical="center" wrapText="1"/>
    </xf>
    <xf numFmtId="0" fontId="42" fillId="0" borderId="0" xfId="0" applyFont="1" applyFill="1" applyBorder="1" applyAlignment="1">
      <alignment vertical="center"/>
    </xf>
    <xf numFmtId="0" fontId="42" fillId="0" borderId="0" xfId="0" applyFont="1" applyFill="1" applyBorder="1" applyAlignment="1">
      <alignment horizontal="center" vertical="justify"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xf>
    <xf numFmtId="166" fontId="14" fillId="0" borderId="5" xfId="1" applyNumberFormat="1" applyFont="1" applyFill="1" applyBorder="1" applyAlignment="1">
      <alignment vertical="center" wrapText="1"/>
    </xf>
    <xf numFmtId="0" fontId="52" fillId="0" borderId="0" xfId="0" applyFont="1" applyFill="1" applyBorder="1" applyAlignment="1">
      <alignment horizontal="left" vertical="top" wrapText="1"/>
    </xf>
    <xf numFmtId="0" fontId="53" fillId="0" borderId="0" xfId="0" applyFont="1" applyFill="1" applyBorder="1" applyAlignment="1">
      <alignment horizontal="center" wrapText="1"/>
    </xf>
    <xf numFmtId="164" fontId="14" fillId="0" borderId="4" xfId="1" applyFont="1" applyFill="1" applyBorder="1" applyAlignment="1">
      <alignment horizontal="center" vertical="center" wrapText="1"/>
    </xf>
    <xf numFmtId="0" fontId="54" fillId="0" borderId="0" xfId="0" applyFont="1" applyFill="1" applyBorder="1" applyAlignment="1">
      <alignment horizontal="justify" vertical="justify" wrapText="1"/>
    </xf>
    <xf numFmtId="164" fontId="55" fillId="0" borderId="0" xfId="1" applyFont="1" applyFill="1" applyBorder="1" applyAlignment="1">
      <alignment horizontal="center" vertical="center" wrapText="1"/>
    </xf>
    <xf numFmtId="2" fontId="14" fillId="0" borderId="0" xfId="1" applyNumberFormat="1" applyFont="1" applyFill="1" applyBorder="1" applyAlignment="1">
      <alignment horizontal="center" vertical="center" wrapText="1"/>
    </xf>
    <xf numFmtId="0" fontId="44" fillId="0" borderId="0" xfId="0" applyFont="1" applyFill="1" applyBorder="1" applyAlignment="1">
      <alignment horizontal="left" vertical="justify" wrapText="1"/>
    </xf>
    <xf numFmtId="0" fontId="53" fillId="0" borderId="0" xfId="0" applyFont="1" applyBorder="1" applyAlignment="1">
      <alignment horizontal="justify" vertical="justify" wrapText="1"/>
    </xf>
    <xf numFmtId="164" fontId="49" fillId="0" borderId="0" xfId="1"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0" xfId="0" applyFont="1" applyFill="1" applyBorder="1" applyAlignment="1">
      <alignment horizontal="left" vertical="center" wrapText="1"/>
    </xf>
    <xf numFmtId="0" fontId="57" fillId="0" borderId="0" xfId="0" applyFont="1" applyFill="1" applyBorder="1" applyAlignment="1">
      <alignment horizontal="center" vertical="center" wrapText="1"/>
    </xf>
    <xf numFmtId="0" fontId="57" fillId="0" borderId="0" xfId="0" applyFont="1" applyFill="1" applyBorder="1" applyAlignment="1">
      <alignment vertical="center"/>
    </xf>
    <xf numFmtId="0" fontId="2" fillId="0" borderId="0" xfId="0" applyFont="1" applyAlignment="1">
      <alignment horizontal="right" vertical="center"/>
    </xf>
    <xf numFmtId="0" fontId="16" fillId="0" borderId="0" xfId="0" applyFont="1" applyFill="1" applyBorder="1" applyAlignment="1">
      <alignment vertical="center"/>
    </xf>
    <xf numFmtId="0" fontId="96" fillId="0" borderId="0" xfId="0" applyFont="1" applyFill="1" applyBorder="1" applyAlignment="1">
      <alignment vertical="center" wrapText="1"/>
    </xf>
    <xf numFmtId="166" fontId="14" fillId="0" borderId="4" xfId="1" applyNumberFormat="1" applyFont="1" applyFill="1" applyBorder="1" applyAlignment="1">
      <alignment horizontal="right" wrapText="1"/>
    </xf>
    <xf numFmtId="166" fontId="14" fillId="0" borderId="4" xfId="1" applyNumberFormat="1" applyFont="1" applyFill="1" applyBorder="1" applyAlignment="1">
      <alignment vertical="center" wrapText="1"/>
    </xf>
    <xf numFmtId="0" fontId="43" fillId="0" borderId="0" xfId="0" applyFont="1" applyFill="1" applyBorder="1" applyAlignment="1">
      <alignment horizontal="center" wrapText="1"/>
    </xf>
    <xf numFmtId="0" fontId="42" fillId="0" borderId="0" xfId="0" applyFont="1" applyFill="1" applyBorder="1" applyAlignment="1">
      <alignment horizontal="center" vertical="center"/>
    </xf>
    <xf numFmtId="0" fontId="70" fillId="0" borderId="0" xfId="0" applyFont="1" applyFill="1" applyBorder="1" applyAlignment="1">
      <alignment horizontal="left"/>
    </xf>
    <xf numFmtId="0" fontId="57" fillId="0" borderId="0" xfId="0" applyFont="1" applyFill="1" applyBorder="1" applyAlignment="1">
      <alignment vertical="center" wrapText="1"/>
    </xf>
    <xf numFmtId="168" fontId="2" fillId="0" borderId="0" xfId="0" applyNumberFormat="1" applyFont="1" applyFill="1" applyBorder="1" applyAlignment="1">
      <alignment horizontal="right"/>
    </xf>
    <xf numFmtId="0" fontId="4" fillId="5" borderId="0" xfId="0" applyFont="1" applyFill="1" applyBorder="1" applyAlignment="1">
      <alignment horizontal="center"/>
    </xf>
    <xf numFmtId="2" fontId="4" fillId="5" borderId="0" xfId="0" applyNumberFormat="1" applyFont="1" applyFill="1" applyBorder="1" applyAlignment="1">
      <alignment horizontal="center"/>
    </xf>
    <xf numFmtId="2" fontId="4" fillId="5" borderId="0" xfId="0" applyNumberFormat="1" applyFont="1" applyFill="1" applyBorder="1" applyAlignment="1">
      <alignment horizontal="center" wrapText="1"/>
    </xf>
    <xf numFmtId="0" fontId="2" fillId="0" borderId="0" xfId="0" applyFont="1" applyAlignment="1">
      <alignment horizontal="right"/>
    </xf>
    <xf numFmtId="2" fontId="4" fillId="4" borderId="0" xfId="0" applyNumberFormat="1" applyFont="1" applyFill="1" applyBorder="1" applyAlignment="1">
      <alignment horizontal="center"/>
    </xf>
    <xf numFmtId="0" fontId="0" fillId="0" borderId="0" xfId="0" applyFill="1" applyBorder="1" applyAlignment="1">
      <alignment vertical="top"/>
    </xf>
    <xf numFmtId="0" fontId="21" fillId="0" borderId="0" xfId="0" applyFont="1" applyFill="1" applyBorder="1" applyAlignment="1">
      <alignment horizontal="center" vertical="top"/>
    </xf>
    <xf numFmtId="0" fontId="0" fillId="0" borderId="0" xfId="0" applyNumberForma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vertical="top"/>
    </xf>
    <xf numFmtId="2" fontId="0" fillId="0" borderId="0" xfId="0" applyNumberFormat="1" applyFill="1" applyAlignment="1">
      <alignment horizontal="center" vertical="center"/>
    </xf>
    <xf numFmtId="0" fontId="15" fillId="0" borderId="0" xfId="0" applyFont="1" applyFill="1" applyAlignment="1"/>
    <xf numFmtId="0" fontId="2" fillId="0" borderId="0" xfId="0" applyFont="1" applyFill="1" applyBorder="1" applyAlignment="1">
      <alignment horizontal="center" vertical="center"/>
    </xf>
    <xf numFmtId="0" fontId="2"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2" fillId="0" borderId="6" xfId="0" applyFont="1" applyBorder="1" applyAlignment="1">
      <alignment horizontal="center" vertical="top" wrapText="1"/>
    </xf>
    <xf numFmtId="0" fontId="9" fillId="0" borderId="0" xfId="0" applyFont="1" applyFill="1" applyAlignment="1" applyProtection="1">
      <alignment horizontal="center"/>
      <protection hidden="1"/>
    </xf>
    <xf numFmtId="0" fontId="12" fillId="0" borderId="0" xfId="0" quotePrefix="1" applyFont="1" applyFill="1" applyAlignment="1" applyProtection="1">
      <alignment horizontal="center"/>
      <protection hidden="1"/>
    </xf>
    <xf numFmtId="169" fontId="4" fillId="0" borderId="0" xfId="0" applyNumberFormat="1" applyFont="1" applyFill="1" applyAlignment="1">
      <alignment horizontal="center"/>
    </xf>
    <xf numFmtId="0" fontId="74" fillId="0" borderId="0" xfId="0" applyFont="1" applyFill="1" applyAlignment="1">
      <alignment horizontal="center"/>
    </xf>
    <xf numFmtId="0" fontId="28" fillId="0" borderId="0" xfId="0" applyFont="1" applyFill="1" applyAlignment="1">
      <alignment horizontal="center"/>
    </xf>
    <xf numFmtId="0" fontId="4" fillId="0" borderId="0" xfId="0" quotePrefix="1" applyFont="1" applyFill="1" applyAlignment="1" applyProtection="1">
      <alignment horizontal="center"/>
      <protection hidden="1"/>
    </xf>
    <xf numFmtId="2" fontId="5" fillId="0" borderId="0" xfId="0" applyNumberFormat="1" applyFont="1" applyFill="1" applyAlignment="1">
      <alignment horizontal="center"/>
    </xf>
    <xf numFmtId="2" fontId="3" fillId="0" borderId="5" xfId="0" applyNumberFormat="1" applyFont="1" applyFill="1" applyBorder="1" applyAlignment="1">
      <alignment horizontal="center"/>
    </xf>
    <xf numFmtId="2" fontId="3" fillId="0" borderId="4" xfId="0" applyNumberFormat="1" applyFont="1" applyFill="1" applyBorder="1" applyAlignment="1">
      <alignment horizontal="center"/>
    </xf>
    <xf numFmtId="0" fontId="17" fillId="0" borderId="0" xfId="0" applyFont="1" applyFill="1" applyBorder="1" applyAlignment="1">
      <alignment horizontal="center"/>
    </xf>
    <xf numFmtId="43" fontId="17" fillId="0" borderId="0" xfId="1" applyNumberFormat="1" applyFont="1" applyFill="1" applyBorder="1" applyAlignment="1">
      <alignment horizontal="center"/>
    </xf>
    <xf numFmtId="2" fontId="17" fillId="0" borderId="0" xfId="0" applyNumberFormat="1" applyFont="1" applyFill="1" applyBorder="1" applyAlignment="1">
      <alignment horizontal="center"/>
    </xf>
    <xf numFmtId="2" fontId="18" fillId="0" borderId="0" xfId="0" applyNumberFormat="1" applyFont="1" applyFill="1" applyBorder="1" applyAlignment="1">
      <alignment horizontal="center"/>
    </xf>
    <xf numFmtId="2" fontId="97" fillId="0" borderId="0" xfId="0" applyNumberFormat="1" applyFont="1" applyFill="1" applyBorder="1" applyAlignment="1">
      <alignment horizontal="center"/>
    </xf>
    <xf numFmtId="4" fontId="3" fillId="0" borderId="0" xfId="0" applyNumberFormat="1" applyFont="1" applyFill="1" applyAlignment="1">
      <alignment horizontal="center"/>
    </xf>
    <xf numFmtId="4" fontId="3" fillId="0" borderId="5" xfId="0" applyNumberFormat="1" applyFont="1" applyFill="1" applyBorder="1" applyAlignment="1">
      <alignment horizontal="center"/>
    </xf>
    <xf numFmtId="0" fontId="5" fillId="0" borderId="0" xfId="0" applyFont="1" applyFill="1" applyAlignment="1">
      <alignment horizontal="center"/>
    </xf>
    <xf numFmtId="2" fontId="5" fillId="0" borderId="5" xfId="0" applyNumberFormat="1" applyFont="1" applyFill="1" applyBorder="1" applyAlignment="1">
      <alignment horizontal="center"/>
    </xf>
    <xf numFmtId="0" fontId="20" fillId="0" borderId="0" xfId="0" applyNumberFormat="1" applyFont="1" applyFill="1" applyAlignment="1" applyProtection="1">
      <alignment horizontal="center" wrapText="1"/>
      <protection hidden="1"/>
    </xf>
    <xf numFmtId="0" fontId="23" fillId="0" borderId="0" xfId="0" applyNumberFormat="1" applyFont="1" applyFill="1" applyAlignment="1" applyProtection="1">
      <alignment horizontal="center" wrapText="1"/>
      <protection hidden="1"/>
    </xf>
    <xf numFmtId="0" fontId="24"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0" fontId="3" fillId="5" borderId="0" xfId="0" applyFont="1" applyFill="1" applyAlignment="1">
      <alignment horizontal="center"/>
    </xf>
    <xf numFmtId="0" fontId="23" fillId="0" borderId="0" xfId="0" applyFont="1" applyFill="1" applyAlignment="1" applyProtection="1">
      <alignment horizontal="center"/>
      <protection hidden="1"/>
    </xf>
    <xf numFmtId="0" fontId="3" fillId="0" borderId="5" xfId="0" applyFont="1" applyFill="1" applyBorder="1" applyAlignment="1">
      <alignment horizontal="center"/>
    </xf>
    <xf numFmtId="0" fontId="27" fillId="0" borderId="0" xfId="0" applyFont="1" applyFill="1" applyAlignment="1" applyProtection="1">
      <alignment horizontal="center"/>
      <protection hidden="1"/>
    </xf>
    <xf numFmtId="168" fontId="5" fillId="0" borderId="0" xfId="0" applyNumberFormat="1" applyFont="1" applyFill="1" applyAlignment="1">
      <alignment horizontal="center"/>
    </xf>
    <xf numFmtId="170" fontId="3" fillId="0" borderId="0" xfId="0" applyNumberFormat="1" applyFont="1" applyFill="1" applyAlignment="1">
      <alignment horizontal="center"/>
    </xf>
    <xf numFmtId="168" fontId="4" fillId="0" borderId="0" xfId="0" applyNumberFormat="1" applyFont="1" applyAlignment="1">
      <alignment horizontal="center"/>
    </xf>
    <xf numFmtId="2" fontId="3" fillId="0" borderId="0" xfId="0" applyNumberFormat="1" applyFont="1" applyAlignment="1">
      <alignment horizontal="center"/>
    </xf>
    <xf numFmtId="4" fontId="3" fillId="0" borderId="0" xfId="0" applyNumberFormat="1" applyFont="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4" fillId="0" borderId="0" xfId="0" applyNumberFormat="1" applyFont="1" applyFill="1" applyBorder="1" applyAlignment="1" applyProtection="1">
      <alignment horizontal="center" wrapText="1"/>
      <protection hidden="1"/>
    </xf>
    <xf numFmtId="0" fontId="29" fillId="0" borderId="0" xfId="0" applyFont="1" applyFill="1" applyAlignment="1" applyProtection="1">
      <alignment horizontal="center"/>
      <protection hidden="1"/>
    </xf>
    <xf numFmtId="2" fontId="4" fillId="0" borderId="0" xfId="0" applyNumberFormat="1" applyFont="1" applyFill="1" applyBorder="1" applyAlignment="1" applyProtection="1">
      <alignment horizontal="center"/>
      <protection hidden="1"/>
    </xf>
    <xf numFmtId="168" fontId="4" fillId="0" borderId="0" xfId="0" applyNumberFormat="1" applyFont="1" applyFill="1" applyBorder="1" applyAlignment="1" applyProtection="1">
      <alignment horizontal="center"/>
      <protection hidden="1"/>
    </xf>
    <xf numFmtId="0" fontId="4" fillId="0" borderId="0" xfId="0" quotePrefix="1" applyFont="1" applyFill="1" applyBorder="1" applyAlignment="1" applyProtection="1">
      <alignment horizontal="center"/>
      <protection hidden="1"/>
    </xf>
    <xf numFmtId="2" fontId="4" fillId="0" borderId="4" xfId="0" applyNumberFormat="1" applyFont="1" applyFill="1" applyBorder="1" applyAlignment="1" applyProtection="1">
      <alignment horizontal="center"/>
      <protection hidden="1"/>
    </xf>
    <xf numFmtId="0" fontId="9" fillId="0" borderId="0" xfId="0" quotePrefix="1" applyFont="1" applyFill="1" applyAlignment="1" applyProtection="1">
      <alignment horizontal="center"/>
      <protection hidden="1"/>
    </xf>
    <xf numFmtId="2" fontId="12" fillId="0" borderId="0" xfId="0" applyNumberFormat="1" applyFont="1" applyFill="1" applyBorder="1" applyAlignment="1" applyProtection="1">
      <alignment horizontal="center"/>
      <protection hidden="1"/>
    </xf>
    <xf numFmtId="0" fontId="2" fillId="0" borderId="0" xfId="0" applyFont="1" applyFill="1" applyAlignment="1" applyProtection="1">
      <alignment horizontal="center"/>
      <protection hidden="1"/>
    </xf>
    <xf numFmtId="2" fontId="2" fillId="0" borderId="5" xfId="0" applyNumberFormat="1" applyFont="1" applyFill="1" applyBorder="1" applyAlignment="1" applyProtection="1">
      <alignment horizontal="center"/>
      <protection hidden="1"/>
    </xf>
    <xf numFmtId="0" fontId="39" fillId="0" borderId="0" xfId="0" applyFont="1" applyFill="1" applyBorder="1" applyAlignment="1">
      <alignment horizontal="center"/>
    </xf>
    <xf numFmtId="43" fontId="19" fillId="0" borderId="0" xfId="1" applyNumberFormat="1" applyFont="1" applyFill="1" applyBorder="1" applyAlignment="1">
      <alignment horizontal="center"/>
    </xf>
    <xf numFmtId="0" fontId="19" fillId="0" borderId="0" xfId="0" applyFont="1" applyFill="1" applyBorder="1" applyAlignment="1">
      <alignment horizontal="center"/>
    </xf>
    <xf numFmtId="2" fontId="19" fillId="0" borderId="0" xfId="0" applyNumberFormat="1" applyFont="1" applyFill="1" applyBorder="1" applyAlignment="1">
      <alignment horizontal="center"/>
    </xf>
    <xf numFmtId="171" fontId="19" fillId="0" borderId="0" xfId="1" applyNumberFormat="1" applyFont="1" applyFill="1" applyBorder="1" applyAlignment="1">
      <alignment horizontal="center"/>
    </xf>
    <xf numFmtId="172" fontId="19" fillId="0" borderId="0" xfId="1" applyNumberFormat="1" applyFont="1" applyFill="1" applyBorder="1" applyAlignment="1">
      <alignment horizontal="center"/>
    </xf>
    <xf numFmtId="2" fontId="19" fillId="0" borderId="5" xfId="0" applyNumberFormat="1" applyFont="1" applyFill="1" applyBorder="1" applyAlignment="1">
      <alignment horizontal="center"/>
    </xf>
    <xf numFmtId="2" fontId="39" fillId="0" borderId="0" xfId="0" applyNumberFormat="1" applyFont="1" applyFill="1" applyBorder="1" applyAlignment="1">
      <alignment horizontal="center"/>
    </xf>
    <xf numFmtId="4" fontId="4" fillId="0" borderId="4" xfId="0" applyNumberFormat="1" applyFont="1" applyFill="1" applyBorder="1" applyAlignment="1">
      <alignment horizontal="center"/>
    </xf>
    <xf numFmtId="0" fontId="28" fillId="0" borderId="0" xfId="0" quotePrefix="1" applyFont="1" applyFill="1" applyAlignment="1" applyProtection="1">
      <alignment horizontal="center"/>
      <protection hidden="1"/>
    </xf>
    <xf numFmtId="2" fontId="28" fillId="0" borderId="0" xfId="0" quotePrefix="1" applyNumberFormat="1" applyFont="1" applyFill="1" applyAlignment="1" applyProtection="1">
      <alignment horizontal="center"/>
      <protection hidden="1"/>
    </xf>
    <xf numFmtId="0" fontId="10" fillId="0" borderId="0" xfId="0" applyFont="1" applyFill="1" applyAlignment="1" applyProtection="1">
      <alignment horizontal="center"/>
      <protection hidden="1"/>
    </xf>
    <xf numFmtId="0" fontId="30" fillId="0" borderId="0" xfId="0" applyFont="1" applyFill="1" applyAlignment="1" applyProtection="1">
      <alignment horizontal="center"/>
      <protection hidden="1"/>
    </xf>
    <xf numFmtId="0" fontId="28" fillId="0" borderId="0" xfId="0" applyFont="1" applyFill="1" applyAlignment="1" applyProtection="1">
      <alignment horizontal="center"/>
      <protection hidden="1"/>
    </xf>
    <xf numFmtId="2" fontId="12" fillId="0" borderId="0" xfId="0" applyNumberFormat="1" applyFont="1" applyFill="1" applyAlignment="1" applyProtection="1">
      <alignment horizontal="center"/>
      <protection hidden="1"/>
    </xf>
    <xf numFmtId="2" fontId="2" fillId="0" borderId="0" xfId="0" applyNumberFormat="1" applyFont="1" applyFill="1" applyAlignment="1" applyProtection="1">
      <alignment horizontal="center"/>
      <protection hidden="1"/>
    </xf>
    <xf numFmtId="2" fontId="2" fillId="0" borderId="0" xfId="0" applyNumberFormat="1" applyFont="1" applyFill="1" applyBorder="1" applyAlignment="1" applyProtection="1">
      <alignment horizontal="center"/>
      <protection hidden="1"/>
    </xf>
    <xf numFmtId="2" fontId="29" fillId="0" borderId="0" xfId="0" applyNumberFormat="1" applyFont="1" applyFill="1" applyAlignment="1" applyProtection="1">
      <alignment horizontal="center"/>
      <protection hidden="1"/>
    </xf>
    <xf numFmtId="168" fontId="4" fillId="0" borderId="0" xfId="0" applyNumberFormat="1" applyFont="1" applyFill="1" applyAlignment="1" applyProtection="1">
      <alignment horizontal="center"/>
      <protection hidden="1"/>
    </xf>
    <xf numFmtId="0" fontId="4" fillId="0" borderId="0" xfId="0" applyFont="1" applyFill="1" applyBorder="1" applyAlignment="1">
      <alignment horizontal="center" wrapText="1"/>
    </xf>
    <xf numFmtId="0" fontId="2" fillId="0" borderId="0" xfId="0" applyFont="1" applyFill="1" applyAlignment="1" applyProtection="1">
      <alignment horizontal="center" wrapText="1"/>
      <protection hidden="1"/>
    </xf>
    <xf numFmtId="2" fontId="2" fillId="0" borderId="0" xfId="0" applyNumberFormat="1" applyFont="1" applyFill="1" applyAlignment="1" applyProtection="1">
      <alignment horizontal="center" wrapText="1"/>
      <protection hidden="1"/>
    </xf>
    <xf numFmtId="2" fontId="4" fillId="0" borderId="0" xfId="0" applyNumberFormat="1" applyFont="1" applyFill="1" applyAlignment="1" applyProtection="1">
      <alignment horizontal="center" wrapText="1"/>
      <protection hidden="1"/>
    </xf>
    <xf numFmtId="2" fontId="2" fillId="0" borderId="7" xfId="0" applyNumberFormat="1" applyFont="1" applyFill="1" applyBorder="1" applyAlignment="1" applyProtection="1">
      <alignment horizontal="center"/>
      <protection hidden="1"/>
    </xf>
    <xf numFmtId="43" fontId="17" fillId="0" borderId="0" xfId="1" applyNumberFormat="1" applyFont="1" applyFill="1" applyAlignment="1">
      <alignment horizontal="center"/>
    </xf>
    <xf numFmtId="0" fontId="17" fillId="0" borderId="0" xfId="0" applyFont="1" applyFill="1" applyAlignment="1">
      <alignment horizontal="center"/>
    </xf>
    <xf numFmtId="2" fontId="17" fillId="0" borderId="0" xfId="0" applyNumberFormat="1" applyFont="1" applyFill="1" applyAlignment="1">
      <alignment horizontal="center"/>
    </xf>
    <xf numFmtId="2" fontId="18" fillId="0" borderId="0" xfId="0" applyNumberFormat="1" applyFont="1" applyFill="1" applyAlignment="1">
      <alignment horizontal="center"/>
    </xf>
    <xf numFmtId="0" fontId="4" fillId="0" borderId="0" xfId="0" applyNumberFormat="1" applyFont="1" applyFill="1" applyAlignment="1" applyProtection="1">
      <alignment horizontal="center"/>
      <protection hidden="1"/>
    </xf>
    <xf numFmtId="2" fontId="4" fillId="0" borderId="0" xfId="0" quotePrefix="1" applyNumberFormat="1" applyFont="1" applyFill="1" applyAlignment="1" applyProtection="1">
      <alignment horizontal="center" wrapText="1"/>
      <protection hidden="1"/>
    </xf>
    <xf numFmtId="0" fontId="29" fillId="0" borderId="0" xfId="0" applyNumberFormat="1" applyFont="1" applyFill="1" applyAlignment="1" applyProtection="1">
      <alignment horizontal="center"/>
      <protection hidden="1"/>
    </xf>
    <xf numFmtId="0" fontId="4" fillId="0" borderId="0" xfId="0" applyFont="1" applyFill="1" applyBorder="1" applyAlignment="1" applyProtection="1">
      <alignment horizontal="center"/>
      <protection hidden="1"/>
    </xf>
    <xf numFmtId="0" fontId="87" fillId="0" borderId="6" xfId="0" applyFont="1" applyFill="1" applyBorder="1" applyAlignment="1">
      <alignment horizontal="center" vertical="center" wrapText="1"/>
    </xf>
    <xf numFmtId="0" fontId="4" fillId="0" borderId="6" xfId="0" applyFont="1" applyBorder="1" applyAlignment="1">
      <alignment horizontal="justify" vertical="justify" wrapText="1"/>
    </xf>
    <xf numFmtId="0" fontId="4" fillId="0" borderId="6" xfId="0" applyFont="1" applyFill="1" applyBorder="1" applyAlignment="1">
      <alignment horizontal="center"/>
    </xf>
    <xf numFmtId="2" fontId="4" fillId="0" borderId="6" xfId="0" applyNumberFormat="1" applyFont="1" applyFill="1" applyBorder="1" applyAlignment="1">
      <alignment horizontal="center"/>
    </xf>
    <xf numFmtId="0" fontId="2" fillId="0" borderId="6" xfId="0" applyFont="1" applyFill="1" applyBorder="1" applyAlignment="1">
      <alignment horizontal="center" vertical="top"/>
    </xf>
    <xf numFmtId="0" fontId="4" fillId="0" borderId="6" xfId="0" applyFont="1" applyBorder="1" applyAlignment="1">
      <alignment horizontal="justify" vertical="top" wrapText="1"/>
    </xf>
    <xf numFmtId="0" fontId="2" fillId="0" borderId="6" xfId="0" applyFont="1" applyBorder="1"/>
    <xf numFmtId="0" fontId="4" fillId="0" borderId="6" xfId="0" applyFont="1" applyBorder="1"/>
    <xf numFmtId="0" fontId="4" fillId="0" borderId="6" xfId="0" applyFont="1" applyFill="1" applyBorder="1"/>
    <xf numFmtId="0" fontId="2" fillId="0" borderId="6" xfId="0" applyFont="1" applyBorder="1" applyAlignment="1">
      <alignment horizontal="center" vertical="top"/>
    </xf>
    <xf numFmtId="0" fontId="4"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4" fillId="0" borderId="6" xfId="0" applyNumberFormat="1" applyFont="1" applyFill="1" applyBorder="1" applyAlignment="1">
      <alignment horizontal="justify" vertical="top" wrapText="1"/>
    </xf>
    <xf numFmtId="0" fontId="4" fillId="0" borderId="6" xfId="0" applyFont="1" applyFill="1" applyBorder="1" applyAlignment="1">
      <alignment horizontal="center" vertical="center"/>
    </xf>
    <xf numFmtId="0" fontId="0" fillId="0" borderId="6" xfId="0" applyBorder="1"/>
    <xf numFmtId="2" fontId="4" fillId="0" borderId="6" xfId="0" applyNumberFormat="1" applyFont="1" applyBorder="1" applyAlignment="1">
      <alignment horizontal="center" vertical="center" wrapText="1"/>
    </xf>
    <xf numFmtId="2" fontId="4" fillId="0" borderId="6" xfId="0" applyNumberFormat="1" applyFont="1" applyFill="1" applyBorder="1" applyAlignment="1">
      <alignment horizontal="center" vertical="center"/>
    </xf>
    <xf numFmtId="0" fontId="4" fillId="0" borderId="6" xfId="0" applyFont="1" applyBorder="1" applyAlignment="1">
      <alignment horizontal="left" vertical="top" wrapText="1"/>
    </xf>
    <xf numFmtId="0" fontId="4" fillId="0" borderId="6" xfId="0" applyFont="1" applyBorder="1" applyAlignment="1">
      <alignment horizontal="center" vertical="center"/>
    </xf>
    <xf numFmtId="0" fontId="3" fillId="0" borderId="6" xfId="0" applyFont="1" applyBorder="1" applyAlignment="1">
      <alignment horizontal="justify" vertical="top" wrapText="1"/>
    </xf>
    <xf numFmtId="0" fontId="12" fillId="0" borderId="6" xfId="0" applyFont="1" applyFill="1" applyBorder="1" applyAlignment="1">
      <alignment horizontal="center" vertical="center"/>
    </xf>
    <xf numFmtId="0" fontId="4" fillId="0" borderId="6" xfId="0" applyFont="1" applyFill="1" applyBorder="1" applyAlignment="1">
      <alignment horizontal="justify" vertical="center" wrapText="1"/>
    </xf>
    <xf numFmtId="2" fontId="4" fillId="0" borderId="6" xfId="0" applyNumberFormat="1" applyFont="1" applyBorder="1" applyAlignment="1">
      <alignment horizontal="center" vertical="center"/>
    </xf>
    <xf numFmtId="0" fontId="2" fillId="0" borderId="6" xfId="0" applyFont="1" applyBorder="1" applyAlignment="1">
      <alignment horizontal="justify" vertical="top" wrapText="1"/>
    </xf>
    <xf numFmtId="0" fontId="4" fillId="0" borderId="6" xfId="0" applyFont="1" applyBorder="1" applyAlignment="1">
      <alignment horizontal="center" vertical="center" wrapText="1"/>
    </xf>
    <xf numFmtId="43" fontId="4" fillId="0" borderId="6" xfId="0" applyNumberFormat="1" applyFont="1" applyFill="1" applyBorder="1" applyAlignment="1">
      <alignment horizontal="center" vertical="center"/>
    </xf>
    <xf numFmtId="0" fontId="4" fillId="0" borderId="6" xfId="0" applyFont="1" applyFill="1" applyBorder="1" applyAlignment="1">
      <alignment horizontal="justify" vertical="top"/>
    </xf>
    <xf numFmtId="2" fontId="4" fillId="0" borderId="6" xfId="0" applyNumberFormat="1" applyFont="1" applyFill="1" applyBorder="1" applyAlignment="1">
      <alignment horizontal="justify" vertical="top" wrapText="1"/>
    </xf>
    <xf numFmtId="2" fontId="34" fillId="0" borderId="6" xfId="0" applyNumberFormat="1" applyFont="1" applyFill="1" applyBorder="1" applyAlignment="1">
      <alignment horizontal="center" vertical="center"/>
    </xf>
    <xf numFmtId="0" fontId="34" fillId="0" borderId="6" xfId="0" applyFont="1" applyFill="1" applyBorder="1" applyAlignment="1">
      <alignment horizontal="center" vertical="center"/>
    </xf>
    <xf numFmtId="0" fontId="2" fillId="0" borderId="6" xfId="0" applyFont="1" applyFill="1" applyBorder="1" applyAlignment="1">
      <alignment horizontal="center" vertical="center"/>
    </xf>
    <xf numFmtId="2" fontId="2" fillId="0" borderId="6" xfId="0" applyNumberFormat="1" applyFont="1" applyBorder="1" applyAlignment="1">
      <alignment horizontal="center" vertical="center"/>
    </xf>
    <xf numFmtId="164" fontId="2" fillId="0" borderId="6" xfId="2" applyFont="1" applyBorder="1" applyAlignment="1">
      <alignment horizontal="center" vertical="center"/>
    </xf>
    <xf numFmtId="0" fontId="35" fillId="0" borderId="6" xfId="0" applyFont="1" applyFill="1" applyBorder="1" applyAlignment="1">
      <alignment horizontal="center" vertical="center"/>
    </xf>
    <xf numFmtId="0" fontId="35" fillId="0" borderId="6" xfId="0" applyFont="1" applyFill="1" applyBorder="1" applyAlignment="1">
      <alignment horizontal="center"/>
    </xf>
    <xf numFmtId="0" fontId="83" fillId="0" borderId="6" xfId="0" applyFont="1" applyFill="1" applyBorder="1" applyAlignment="1">
      <alignment horizontal="center" vertical="center"/>
    </xf>
    <xf numFmtId="0" fontId="83" fillId="0" borderId="6" xfId="0" applyFont="1" applyFill="1" applyBorder="1" applyAlignment="1">
      <alignment horizontal="left"/>
    </xf>
    <xf numFmtId="0" fontId="84" fillId="0" borderId="6" xfId="0" applyFont="1" applyFill="1" applyBorder="1"/>
    <xf numFmtId="0" fontId="4" fillId="0" borderId="6" xfId="0" applyFont="1" applyFill="1" applyBorder="1" applyAlignment="1">
      <alignment horizontal="right"/>
    </xf>
    <xf numFmtId="0" fontId="0" fillId="0" borderId="6" xfId="0" applyFill="1" applyBorder="1"/>
    <xf numFmtId="0" fontId="78" fillId="0" borderId="6" xfId="0" applyFont="1" applyFill="1" applyBorder="1" applyAlignment="1">
      <alignment vertical="center"/>
    </xf>
    <xf numFmtId="0" fontId="4" fillId="0" borderId="6" xfId="6" applyFont="1" applyFill="1" applyBorder="1" applyAlignment="1">
      <alignment horizontal="center"/>
    </xf>
    <xf numFmtId="168" fontId="4" fillId="0" borderId="6" xfId="0" applyNumberFormat="1" applyFont="1" applyFill="1" applyBorder="1" applyAlignment="1">
      <alignment horizontal="center" vertical="center"/>
    </xf>
    <xf numFmtId="168" fontId="4" fillId="0" borderId="6" xfId="0" applyNumberFormat="1" applyFont="1" applyFill="1" applyBorder="1" applyAlignment="1">
      <alignment horizontal="center"/>
    </xf>
    <xf numFmtId="0" fontId="4" fillId="0" borderId="6" xfId="6" applyFont="1" applyFill="1" applyBorder="1" applyAlignment="1">
      <alignment horizontal="left"/>
    </xf>
    <xf numFmtId="0" fontId="77" fillId="0" borderId="6" xfId="0" applyFont="1" applyFill="1" applyBorder="1" applyAlignment="1">
      <alignment horizontal="left" vertical="center"/>
    </xf>
    <xf numFmtId="168" fontId="2" fillId="0" borderId="6" xfId="0" applyNumberFormat="1" applyFont="1" applyFill="1" applyBorder="1" applyAlignment="1">
      <alignment horizontal="center" vertical="center"/>
    </xf>
    <xf numFmtId="2" fontId="81" fillId="0" borderId="6" xfId="0" applyNumberFormat="1" applyFont="1" applyFill="1" applyBorder="1" applyAlignment="1">
      <alignment horizontal="center" vertical="center"/>
    </xf>
    <xf numFmtId="0" fontId="81" fillId="0" borderId="6" xfId="0" applyFont="1" applyFill="1" applyBorder="1" applyAlignment="1">
      <alignment horizontal="left"/>
    </xf>
    <xf numFmtId="0" fontId="90" fillId="0" borderId="6" xfId="0" applyFont="1" applyFill="1" applyBorder="1" applyAlignment="1"/>
    <xf numFmtId="0" fontId="90" fillId="0" borderId="6" xfId="0" applyFont="1" applyFill="1" applyBorder="1" applyAlignment="1">
      <alignment horizontal="center"/>
    </xf>
    <xf numFmtId="0" fontId="0" fillId="0" borderId="6" xfId="0" applyFill="1" applyBorder="1" applyAlignment="1">
      <alignment horizontal="center" vertical="center"/>
    </xf>
    <xf numFmtId="0" fontId="0" fillId="0" borderId="6" xfId="0" applyFill="1" applyBorder="1" applyAlignment="1">
      <alignment horizontal="center"/>
    </xf>
    <xf numFmtId="0" fontId="0" fillId="0" borderId="6" xfId="0" applyFill="1" applyBorder="1" applyAlignment="1">
      <alignment horizontal="left"/>
    </xf>
    <xf numFmtId="0" fontId="81" fillId="0" borderId="6" xfId="0" applyFont="1" applyFill="1" applyBorder="1" applyAlignment="1">
      <alignment horizontal="center"/>
    </xf>
    <xf numFmtId="0" fontId="91" fillId="0" borderId="6" xfId="0" applyFont="1" applyFill="1" applyBorder="1" applyAlignment="1"/>
    <xf numFmtId="2" fontId="4" fillId="0" borderId="6" xfId="0" applyNumberFormat="1" applyFont="1" applyFill="1" applyBorder="1" applyAlignment="1">
      <alignment horizontal="right" vertical="center"/>
    </xf>
    <xf numFmtId="0" fontId="73" fillId="0" borderId="6" xfId="0" applyFont="1" applyFill="1" applyBorder="1" applyAlignment="1">
      <alignment horizontal="left"/>
    </xf>
    <xf numFmtId="0" fontId="73" fillId="0" borderId="6" xfId="0" applyFont="1" applyFill="1" applyBorder="1"/>
    <xf numFmtId="2" fontId="4" fillId="0" borderId="6" xfId="6" applyNumberFormat="1" applyFont="1" applyFill="1" applyBorder="1" applyAlignment="1">
      <alignment horizontal="center" vertical="center"/>
    </xf>
    <xf numFmtId="2" fontId="4" fillId="0" borderId="6" xfId="6" applyNumberFormat="1" applyFont="1" applyFill="1" applyBorder="1" applyAlignment="1">
      <alignment horizontal="center"/>
    </xf>
    <xf numFmtId="0" fontId="0" fillId="0" borderId="6" xfId="0" applyFill="1" applyBorder="1" applyAlignment="1">
      <alignment horizontal="right"/>
    </xf>
    <xf numFmtId="0" fontId="0" fillId="0" borderId="6" xfId="0" applyBorder="1" applyAlignment="1">
      <alignment horizontal="center"/>
    </xf>
    <xf numFmtId="0" fontId="0" fillId="0" borderId="6" xfId="0" applyBorder="1" applyAlignment="1">
      <alignment horizontal="center" vertical="center"/>
    </xf>
    <xf numFmtId="0" fontId="77" fillId="0" borderId="6" xfId="0" applyFont="1" applyFill="1" applyBorder="1" applyAlignment="1">
      <alignment vertical="center"/>
    </xf>
    <xf numFmtId="0" fontId="69" fillId="0" borderId="6" xfId="0" applyFont="1" applyFill="1" applyBorder="1" applyAlignment="1">
      <alignment horizontal="center"/>
    </xf>
    <xf numFmtId="0" fontId="76" fillId="0" borderId="6" xfId="0" applyFont="1" applyFill="1" applyBorder="1" applyAlignment="1">
      <alignment vertical="center"/>
    </xf>
    <xf numFmtId="0" fontId="89" fillId="0" borderId="6" xfId="0" applyFont="1" applyFill="1" applyBorder="1" applyAlignment="1">
      <alignment vertical="center"/>
    </xf>
    <xf numFmtId="168" fontId="4" fillId="0" borderId="6" xfId="6" applyNumberFormat="1" applyFont="1" applyFill="1" applyBorder="1" applyAlignment="1">
      <alignment horizontal="center" vertical="center"/>
    </xf>
    <xf numFmtId="168" fontId="4" fillId="0" borderId="6" xfId="6" applyNumberFormat="1" applyFont="1" applyFill="1" applyBorder="1" applyAlignment="1">
      <alignment horizontal="center"/>
    </xf>
    <xf numFmtId="0" fontId="73" fillId="0" borderId="6" xfId="0" applyFont="1" applyFill="1" applyBorder="1" applyAlignment="1">
      <alignment horizontal="center" vertical="center"/>
    </xf>
    <xf numFmtId="0" fontId="81" fillId="0" borderId="6" xfId="0" applyFont="1" applyFill="1" applyBorder="1" applyAlignment="1">
      <alignment horizontal="center" vertical="center"/>
    </xf>
    <xf numFmtId="0" fontId="77" fillId="0" borderId="6" xfId="0" applyFont="1" applyFill="1" applyBorder="1" applyAlignment="1"/>
    <xf numFmtId="2" fontId="4" fillId="0" borderId="6" xfId="0" applyNumberFormat="1" applyFont="1" applyFill="1" applyBorder="1" applyAlignment="1">
      <alignment horizontal="right"/>
    </xf>
    <xf numFmtId="0" fontId="69" fillId="0" borderId="6" xfId="0" applyFont="1" applyFill="1" applyBorder="1" applyAlignment="1"/>
    <xf numFmtId="0" fontId="69" fillId="0" borderId="6" xfId="0" applyFont="1" applyFill="1" applyBorder="1" applyAlignment="1">
      <alignment horizontal="center" vertical="center"/>
    </xf>
    <xf numFmtId="0" fontId="77" fillId="0" borderId="6" xfId="0" applyFont="1" applyFill="1" applyBorder="1" applyAlignment="1">
      <alignment horizontal="center"/>
    </xf>
    <xf numFmtId="0" fontId="78" fillId="0" borderId="6" xfId="0" applyFont="1" applyFill="1" applyBorder="1" applyAlignment="1">
      <alignment horizontal="center" vertical="center"/>
    </xf>
    <xf numFmtId="2" fontId="0" fillId="0" borderId="6" xfId="0" applyNumberFormat="1" applyBorder="1" applyAlignment="1">
      <alignment horizontal="center" vertical="center"/>
    </xf>
    <xf numFmtId="0" fontId="2" fillId="0" borderId="6" xfId="0" applyFont="1" applyFill="1" applyBorder="1" applyAlignment="1">
      <alignment horizontal="left"/>
    </xf>
    <xf numFmtId="2" fontId="0" fillId="0" borderId="6" xfId="0" applyNumberFormat="1" applyFill="1" applyBorder="1" applyAlignment="1">
      <alignment horizontal="center" vertical="center"/>
    </xf>
    <xf numFmtId="2" fontId="78" fillId="0" borderId="6" xfId="0" applyNumberFormat="1" applyFont="1" applyFill="1" applyBorder="1" applyAlignment="1">
      <alignment horizontal="center" vertical="center"/>
    </xf>
    <xf numFmtId="2" fontId="72" fillId="0" borderId="6" xfId="0" applyNumberFormat="1" applyFont="1" applyFill="1" applyBorder="1" applyAlignment="1">
      <alignment horizontal="right" vertical="center"/>
    </xf>
    <xf numFmtId="0" fontId="70" fillId="0" borderId="6" xfId="0" applyFont="1" applyFill="1" applyBorder="1" applyAlignment="1"/>
    <xf numFmtId="0" fontId="70" fillId="0" borderId="6" xfId="0" applyFont="1" applyFill="1" applyBorder="1" applyAlignment="1">
      <alignment horizontal="center"/>
    </xf>
    <xf numFmtId="0" fontId="70" fillId="0" borderId="6" xfId="0" applyFont="1" applyFill="1" applyBorder="1" applyAlignment="1">
      <alignment horizontal="center" vertical="center"/>
    </xf>
    <xf numFmtId="2" fontId="78" fillId="0" borderId="6" xfId="0" applyNumberFormat="1" applyFont="1" applyFill="1" applyBorder="1" applyAlignment="1">
      <alignment horizontal="right" vertical="center"/>
    </xf>
    <xf numFmtId="0" fontId="70" fillId="0" borderId="6" xfId="0" applyFont="1" applyFill="1" applyBorder="1" applyAlignment="1">
      <alignment horizontal="left"/>
    </xf>
    <xf numFmtId="2" fontId="0" fillId="0" borderId="6" xfId="0" applyNumberFormat="1" applyFill="1" applyBorder="1" applyAlignment="1">
      <alignment horizontal="center"/>
    </xf>
    <xf numFmtId="0" fontId="2" fillId="0" borderId="6" xfId="0" applyFont="1" applyFill="1" applyBorder="1"/>
    <xf numFmtId="0" fontId="78" fillId="0" borderId="6" xfId="0" applyFont="1" applyFill="1" applyBorder="1" applyAlignment="1"/>
    <xf numFmtId="4" fontId="4" fillId="0" borderId="6" xfId="0" applyNumberFormat="1" applyFont="1" applyFill="1" applyBorder="1" applyAlignment="1">
      <alignment horizontal="center" vertical="center"/>
    </xf>
    <xf numFmtId="0" fontId="0" fillId="0" borderId="6" xfId="0" applyFont="1" applyFill="1" applyBorder="1"/>
    <xf numFmtId="0" fontId="4" fillId="0" borderId="6" xfId="0" applyFont="1" applyFill="1" applyBorder="1" applyAlignment="1">
      <alignment horizontal="left"/>
    </xf>
    <xf numFmtId="4" fontId="81" fillId="0" borderId="6" xfId="0" applyNumberFormat="1" applyFont="1" applyFill="1" applyBorder="1" applyAlignment="1">
      <alignment vertical="center"/>
    </xf>
    <xf numFmtId="0" fontId="81" fillId="0" borderId="6" xfId="0" applyFont="1" applyFill="1" applyBorder="1" applyAlignment="1">
      <alignment horizontal="left" vertical="center"/>
    </xf>
    <xf numFmtId="4" fontId="4" fillId="0" borderId="6" xfId="0" applyNumberFormat="1" applyFont="1" applyFill="1" applyBorder="1" applyAlignment="1">
      <alignment horizontal="center"/>
    </xf>
    <xf numFmtId="2" fontId="81" fillId="0" borderId="6" xfId="0" applyNumberFormat="1" applyFont="1" applyFill="1" applyBorder="1" applyAlignment="1">
      <alignment horizontal="center"/>
    </xf>
    <xf numFmtId="0" fontId="76" fillId="0" borderId="6" xfId="0" applyFont="1" applyFill="1" applyBorder="1" applyAlignment="1"/>
    <xf numFmtId="168" fontId="0" fillId="0" borderId="6" xfId="0" applyNumberFormat="1" applyFill="1" applyBorder="1" applyAlignment="1">
      <alignment horizontal="center" vertical="center"/>
    </xf>
    <xf numFmtId="168" fontId="0" fillId="0" borderId="6" xfId="0" applyNumberFormat="1" applyFill="1" applyBorder="1" applyAlignment="1">
      <alignment horizontal="center"/>
    </xf>
    <xf numFmtId="168" fontId="70" fillId="0" borderId="6" xfId="0" applyNumberFormat="1" applyFont="1" applyFill="1" applyBorder="1" applyAlignment="1">
      <alignment horizontal="center" vertical="center"/>
    </xf>
    <xf numFmtId="168" fontId="70" fillId="0" borderId="6" xfId="0" applyNumberFormat="1" applyFont="1" applyFill="1" applyBorder="1" applyAlignment="1">
      <alignment horizontal="center"/>
    </xf>
    <xf numFmtId="0" fontId="34" fillId="0" borderId="6" xfId="0" applyFont="1" applyFill="1" applyBorder="1" applyAlignment="1"/>
    <xf numFmtId="2" fontId="0" fillId="0" borderId="6" xfId="0" applyNumberFormat="1" applyBorder="1"/>
    <xf numFmtId="0" fontId="34" fillId="0" borderId="6" xfId="0" applyFont="1" applyFill="1" applyBorder="1" applyAlignment="1">
      <alignment horizontal="left" vertical="top"/>
    </xf>
    <xf numFmtId="0" fontId="34" fillId="0" borderId="6" xfId="0" applyFont="1" applyFill="1" applyBorder="1" applyAlignment="1">
      <alignment vertical="top"/>
    </xf>
    <xf numFmtId="168" fontId="77" fillId="0" borderId="6" xfId="0" applyNumberFormat="1" applyFont="1" applyFill="1" applyBorder="1" applyAlignment="1">
      <alignment horizontal="center" vertical="center"/>
    </xf>
    <xf numFmtId="168" fontId="92" fillId="0" borderId="6" xfId="0" applyNumberFormat="1" applyFont="1" applyFill="1" applyBorder="1" applyAlignment="1">
      <alignment horizontal="center"/>
    </xf>
    <xf numFmtId="168" fontId="72" fillId="0" borderId="6" xfId="0" applyNumberFormat="1" applyFont="1" applyFill="1" applyBorder="1" applyAlignment="1">
      <alignment horizontal="center"/>
    </xf>
    <xf numFmtId="0" fontId="76" fillId="0" borderId="6" xfId="0" applyFont="1" applyFill="1" applyBorder="1"/>
    <xf numFmtId="0" fontId="78" fillId="0" borderId="6" xfId="0" applyFont="1" applyFill="1" applyBorder="1"/>
    <xf numFmtId="0" fontId="77" fillId="0" borderId="6" xfId="0" applyFont="1" applyFill="1" applyBorder="1"/>
    <xf numFmtId="2" fontId="0" fillId="0" borderId="6" xfId="3" applyNumberFormat="1" applyFont="1" applyFill="1" applyBorder="1" applyAlignment="1">
      <alignment horizontal="center" vertical="center"/>
    </xf>
    <xf numFmtId="2" fontId="0" fillId="0" borderId="6" xfId="3" applyNumberFormat="1" applyFont="1" applyFill="1" applyBorder="1"/>
    <xf numFmtId="0" fontId="78" fillId="0" borderId="6" xfId="0" applyFont="1" applyFill="1" applyBorder="1" applyAlignment="1">
      <alignment horizontal="center"/>
    </xf>
    <xf numFmtId="2" fontId="4" fillId="0" borderId="6" xfId="3" applyNumberFormat="1" applyFont="1" applyFill="1" applyBorder="1" applyAlignment="1">
      <alignment horizontal="center" vertical="center"/>
    </xf>
    <xf numFmtId="0" fontId="0" fillId="0" borderId="6" xfId="0" applyFont="1" applyFill="1" applyBorder="1" applyAlignment="1">
      <alignment horizontal="center"/>
    </xf>
    <xf numFmtId="2" fontId="70" fillId="0" borderId="6" xfId="3" applyNumberFormat="1" applyFont="1" applyFill="1" applyBorder="1" applyAlignment="1">
      <alignment horizontal="center"/>
    </xf>
    <xf numFmtId="2" fontId="81" fillId="0" borderId="6" xfId="3" applyNumberFormat="1" applyFont="1" applyFill="1" applyBorder="1" applyAlignment="1">
      <alignment horizontal="center" vertical="center"/>
    </xf>
    <xf numFmtId="167" fontId="72" fillId="0" borderId="6" xfId="0" applyNumberFormat="1" applyFont="1" applyFill="1" applyBorder="1" applyAlignment="1">
      <alignment horizontal="right" vertical="center"/>
    </xf>
    <xf numFmtId="0" fontId="81" fillId="0" borderId="6" xfId="0" applyFont="1" applyFill="1" applyBorder="1"/>
    <xf numFmtId="0" fontId="0" fillId="0" borderId="6" xfId="0" applyFill="1" applyBorder="1" applyAlignment="1">
      <alignment horizontal="left" vertical="center"/>
    </xf>
    <xf numFmtId="0" fontId="4" fillId="0" borderId="6" xfId="0" applyFont="1" applyFill="1" applyBorder="1" applyAlignment="1">
      <alignment horizontal="left" vertical="center"/>
    </xf>
    <xf numFmtId="0" fontId="73" fillId="0" borderId="6" xfId="0" applyFont="1" applyFill="1" applyBorder="1" applyAlignment="1">
      <alignment horizontal="center"/>
    </xf>
    <xf numFmtId="0" fontId="78" fillId="0" borderId="6" xfId="0" applyFont="1" applyFill="1" applyBorder="1" applyAlignment="1">
      <alignment horizontal="left" vertical="center"/>
    </xf>
    <xf numFmtId="2" fontId="2" fillId="0" borderId="6" xfId="0" applyNumberFormat="1" applyFont="1" applyFill="1" applyBorder="1" applyAlignment="1">
      <alignment horizontal="center" vertical="center"/>
    </xf>
    <xf numFmtId="167" fontId="81" fillId="0" borderId="6" xfId="0" applyNumberFormat="1" applyFont="1" applyFill="1" applyBorder="1" applyAlignment="1">
      <alignment horizontal="right"/>
    </xf>
    <xf numFmtId="0" fontId="2" fillId="0" borderId="6" xfId="0" applyFont="1" applyFill="1" applyBorder="1" applyAlignment="1">
      <alignment horizontal="left" vertical="top" wrapText="1"/>
    </xf>
    <xf numFmtId="167" fontId="0" fillId="0" borderId="6" xfId="0" applyNumberFormat="1" applyFill="1" applyBorder="1" applyAlignment="1">
      <alignment horizontal="center" vertical="center"/>
    </xf>
    <xf numFmtId="0" fontId="2" fillId="0" borderId="6" xfId="0" applyFont="1" applyFill="1" applyBorder="1" applyAlignment="1">
      <alignment wrapText="1"/>
    </xf>
    <xf numFmtId="167" fontId="4" fillId="0" borderId="6" xfId="0" applyNumberFormat="1" applyFont="1" applyFill="1" applyBorder="1" applyAlignment="1">
      <alignment horizontal="center" vertical="center"/>
    </xf>
    <xf numFmtId="167" fontId="81" fillId="0" borderId="6" xfId="0" applyNumberFormat="1" applyFont="1" applyFill="1" applyBorder="1" applyAlignment="1">
      <alignment horizontal="center" vertical="center"/>
    </xf>
    <xf numFmtId="164" fontId="0" fillId="0" borderId="6" xfId="2" applyNumberFormat="1" applyFont="1" applyFill="1" applyBorder="1" applyAlignment="1">
      <alignment vertical="center"/>
    </xf>
    <xf numFmtId="2" fontId="0" fillId="0" borderId="6" xfId="0" applyNumberFormat="1" applyFill="1" applyBorder="1" applyAlignment="1">
      <alignment horizontal="right"/>
    </xf>
    <xf numFmtId="0" fontId="0" fillId="0" borderId="6" xfId="0" applyFill="1" applyBorder="1" applyAlignment="1">
      <alignment vertical="center"/>
    </xf>
    <xf numFmtId="0" fontId="70" fillId="0" borderId="6" xfId="0" applyFont="1" applyFill="1" applyBorder="1" applyAlignment="1">
      <alignment horizontal="left" vertical="top"/>
    </xf>
    <xf numFmtId="0" fontId="0" fillId="0" borderId="6" xfId="0" applyFill="1" applyBorder="1" applyAlignment="1">
      <alignment horizontal="right" vertical="center"/>
    </xf>
    <xf numFmtId="0" fontId="69" fillId="0" borderId="6" xfId="0" applyFont="1" applyFill="1" applyBorder="1" applyAlignment="1">
      <alignment horizontal="left" vertical="top"/>
    </xf>
    <xf numFmtId="2" fontId="0" fillId="0" borderId="6" xfId="0" applyNumberFormat="1" applyFill="1" applyBorder="1"/>
    <xf numFmtId="1" fontId="0" fillId="0" borderId="6" xfId="0" applyNumberFormat="1" applyFill="1" applyBorder="1" applyAlignment="1">
      <alignment horizontal="center"/>
    </xf>
    <xf numFmtId="0" fontId="4" fillId="0" borderId="6" xfId="0" applyFont="1" applyFill="1" applyBorder="1" applyAlignment="1">
      <alignment horizontal="left" vertical="top"/>
    </xf>
    <xf numFmtId="0" fontId="77" fillId="0" borderId="6" xfId="0" applyFont="1" applyFill="1" applyBorder="1" applyAlignment="1">
      <alignment horizontal="left" vertical="top"/>
    </xf>
    <xf numFmtId="1" fontId="4" fillId="0" borderId="6" xfId="0" applyNumberFormat="1" applyFont="1" applyFill="1" applyBorder="1" applyAlignment="1">
      <alignment horizontal="center"/>
    </xf>
    <xf numFmtId="0" fontId="84" fillId="0" borderId="6" xfId="0" applyFont="1" applyFill="1" applyBorder="1" applyAlignment="1">
      <alignment horizontal="left"/>
    </xf>
    <xf numFmtId="0" fontId="84" fillId="0" borderId="6" xfId="0" applyFont="1" applyFill="1" applyBorder="1" applyAlignment="1">
      <alignment horizontal="left" wrapText="1"/>
    </xf>
    <xf numFmtId="167" fontId="4" fillId="0" borderId="6" xfId="0" applyNumberFormat="1" applyFont="1" applyFill="1" applyBorder="1" applyAlignment="1">
      <alignment horizontal="center"/>
    </xf>
    <xf numFmtId="0" fontId="70" fillId="0" borderId="6" xfId="0" applyFont="1" applyFill="1" applyBorder="1"/>
    <xf numFmtId="0" fontId="2" fillId="0" borderId="6" xfId="0" applyFont="1" applyFill="1" applyBorder="1" applyAlignment="1"/>
    <xf numFmtId="0" fontId="84" fillId="0" borderId="6" xfId="0" applyFont="1" applyFill="1" applyBorder="1" applyAlignment="1"/>
    <xf numFmtId="2" fontId="72" fillId="0" borderId="6" xfId="0" applyNumberFormat="1" applyFont="1" applyFill="1" applyBorder="1" applyAlignment="1">
      <alignment horizontal="center" vertical="center"/>
    </xf>
    <xf numFmtId="0" fontId="0" fillId="0" borderId="6" xfId="0" applyFill="1" applyBorder="1" applyAlignment="1"/>
    <xf numFmtId="168" fontId="2" fillId="0" borderId="6" xfId="0" applyNumberFormat="1" applyFont="1" applyFill="1" applyBorder="1"/>
    <xf numFmtId="168" fontId="0" fillId="0" borderId="6" xfId="0" applyNumberFormat="1" applyFill="1" applyBorder="1"/>
    <xf numFmtId="168" fontId="4" fillId="0" borderId="6" xfId="0" applyNumberFormat="1" applyFont="1" applyFill="1" applyBorder="1"/>
    <xf numFmtId="0" fontId="84" fillId="0" borderId="6" xfId="0" applyFont="1" applyFill="1" applyBorder="1" applyAlignment="1">
      <alignment wrapText="1"/>
    </xf>
    <xf numFmtId="0" fontId="81" fillId="0" borderId="6" xfId="0" applyFont="1" applyFill="1" applyBorder="1" applyAlignment="1">
      <alignment horizontal="center" vertical="top"/>
    </xf>
    <xf numFmtId="0" fontId="73" fillId="0" borderId="6" xfId="0" applyFont="1" applyFill="1" applyBorder="1" applyAlignment="1">
      <alignment horizontal="justify" vertical="top" wrapText="1"/>
    </xf>
    <xf numFmtId="2" fontId="73" fillId="0" borderId="6" xfId="0" applyNumberFormat="1" applyFont="1" applyFill="1" applyBorder="1" applyAlignment="1">
      <alignment horizontal="center" vertical="center"/>
    </xf>
    <xf numFmtId="2" fontId="73" fillId="0" borderId="6" xfId="0" applyNumberFormat="1" applyFont="1" applyFill="1" applyBorder="1" applyAlignment="1">
      <alignment horizontal="center" vertical="center" wrapText="1"/>
    </xf>
    <xf numFmtId="0" fontId="34" fillId="0" borderId="6" xfId="0" applyFont="1" applyFill="1" applyBorder="1" applyAlignment="1">
      <alignment horizontal="left"/>
    </xf>
    <xf numFmtId="0" fontId="72" fillId="0" borderId="6" xfId="0" applyFont="1" applyFill="1" applyBorder="1" applyAlignment="1">
      <alignment horizontal="left" vertical="center"/>
    </xf>
    <xf numFmtId="168" fontId="73" fillId="0" borderId="6" xfId="0" applyNumberFormat="1" applyFont="1" applyFill="1" applyBorder="1" applyAlignment="1">
      <alignment horizontal="center"/>
    </xf>
    <xf numFmtId="2" fontId="77" fillId="0" borderId="6" xfId="0" applyNumberFormat="1" applyFont="1" applyFill="1" applyBorder="1" applyAlignment="1">
      <alignment horizontal="center" vertical="center"/>
    </xf>
    <xf numFmtId="0" fontId="34" fillId="0" borderId="6" xfId="0" applyFont="1" applyFill="1" applyBorder="1"/>
    <xf numFmtId="0" fontId="78" fillId="0" borderId="6" xfId="0" applyFont="1" applyFill="1" applyBorder="1" applyAlignment="1">
      <alignment horizontal="left"/>
    </xf>
    <xf numFmtId="4" fontId="74" fillId="0" borderId="6" xfId="6" applyNumberFormat="1" applyFont="1" applyFill="1" applyBorder="1" applyAlignment="1">
      <alignment horizontal="center" vertical="center"/>
    </xf>
    <xf numFmtId="168" fontId="78" fillId="0" borderId="6" xfId="0" applyNumberFormat="1" applyFont="1" applyFill="1" applyBorder="1" applyAlignment="1"/>
    <xf numFmtId="4" fontId="4" fillId="0" borderId="6" xfId="6" applyNumberFormat="1" applyFont="1" applyFill="1" applyBorder="1" applyAlignment="1">
      <alignment horizontal="center" vertical="center"/>
    </xf>
    <xf numFmtId="168" fontId="70" fillId="0" borderId="6" xfId="0" applyNumberFormat="1" applyFont="1" applyFill="1" applyBorder="1" applyAlignment="1"/>
    <xf numFmtId="2" fontId="78" fillId="0" borderId="6" xfId="0" applyNumberFormat="1" applyFont="1" applyFill="1" applyBorder="1" applyAlignment="1">
      <alignment horizontal="center"/>
    </xf>
    <xf numFmtId="4" fontId="4" fillId="0" borderId="6" xfId="6" applyNumberFormat="1" applyFont="1" applyFill="1" applyBorder="1" applyAlignment="1">
      <alignment horizontal="center"/>
    </xf>
    <xf numFmtId="2" fontId="72" fillId="0" borderId="6" xfId="0" applyNumberFormat="1" applyFont="1" applyFill="1" applyBorder="1" applyAlignment="1">
      <alignment horizontal="center"/>
    </xf>
    <xf numFmtId="2" fontId="77" fillId="0" borderId="6" xfId="0" applyNumberFormat="1" applyFont="1" applyFill="1" applyBorder="1" applyAlignment="1">
      <alignment horizontal="center"/>
    </xf>
    <xf numFmtId="168" fontId="2" fillId="0" borderId="6" xfId="0" applyNumberFormat="1" applyFont="1" applyFill="1" applyBorder="1" applyAlignment="1">
      <alignment horizontal="center"/>
    </xf>
    <xf numFmtId="2" fontId="70" fillId="0" borderId="6" xfId="0" applyNumberFormat="1" applyFont="1" applyFill="1" applyBorder="1" applyAlignment="1">
      <alignment horizontal="center" vertical="center"/>
    </xf>
    <xf numFmtId="168" fontId="0" fillId="0" borderId="6" xfId="0" applyNumberFormat="1" applyBorder="1" applyAlignment="1">
      <alignment horizontal="center" vertical="center"/>
    </xf>
    <xf numFmtId="168" fontId="70" fillId="0" borderId="6" xfId="0" applyNumberFormat="1" applyFont="1" applyFill="1" applyBorder="1"/>
    <xf numFmtId="0" fontId="81" fillId="0" borderId="6" xfId="0" applyFont="1" applyFill="1" applyBorder="1" applyAlignment="1">
      <alignment wrapText="1"/>
    </xf>
    <xf numFmtId="0" fontId="4" fillId="0" borderId="6" xfId="0" applyFont="1" applyFill="1" applyBorder="1" applyAlignment="1">
      <alignment wrapText="1"/>
    </xf>
    <xf numFmtId="2" fontId="69" fillId="0" borderId="6" xfId="0" applyNumberFormat="1" applyFont="1" applyFill="1" applyBorder="1" applyAlignment="1">
      <alignment horizontal="center" vertical="center"/>
    </xf>
    <xf numFmtId="167" fontId="78" fillId="0" borderId="6" xfId="0" applyNumberFormat="1" applyFont="1" applyFill="1" applyBorder="1" applyAlignment="1">
      <alignment horizontal="center" vertical="center"/>
    </xf>
    <xf numFmtId="167" fontId="78" fillId="0" borderId="6" xfId="0" applyNumberFormat="1" applyFont="1" applyFill="1" applyBorder="1" applyAlignment="1">
      <alignment horizontal="center"/>
    </xf>
    <xf numFmtId="168" fontId="0" fillId="0" borderId="6" xfId="0" applyNumberFormat="1" applyFill="1" applyBorder="1" applyAlignment="1"/>
    <xf numFmtId="2" fontId="0" fillId="0" borderId="6" xfId="0" applyNumberFormat="1" applyFill="1" applyBorder="1" applyAlignment="1">
      <alignment horizontal="right" vertical="center"/>
    </xf>
    <xf numFmtId="0" fontId="70" fillId="0" borderId="6" xfId="0" applyFont="1" applyFill="1" applyBorder="1" applyAlignment="1">
      <alignment horizontal="left" vertical="justify" wrapText="1"/>
    </xf>
    <xf numFmtId="2" fontId="69" fillId="0" borderId="6" xfId="0" applyNumberFormat="1" applyFont="1" applyFill="1" applyBorder="1" applyAlignment="1">
      <alignment horizontal="right" vertical="center"/>
    </xf>
    <xf numFmtId="0" fontId="69" fillId="0" borderId="6" xfId="0" applyFont="1" applyFill="1" applyBorder="1"/>
    <xf numFmtId="0" fontId="2" fillId="0" borderId="6" xfId="0" applyFont="1" applyFill="1" applyBorder="1" applyAlignment="1">
      <alignment horizontal="left" vertical="top"/>
    </xf>
    <xf numFmtId="168" fontId="2" fillId="0" borderId="6" xfId="0" applyNumberFormat="1" applyFont="1" applyFill="1" applyBorder="1" applyAlignment="1"/>
    <xf numFmtId="2" fontId="70" fillId="0" borderId="6" xfId="0" applyNumberFormat="1" applyFont="1" applyFill="1" applyBorder="1" applyAlignment="1">
      <alignment horizontal="right" vertical="center"/>
    </xf>
    <xf numFmtId="0" fontId="88" fillId="0" borderId="6" xfId="0" applyFont="1" applyFill="1" applyBorder="1" applyAlignment="1">
      <alignment horizontal="center"/>
    </xf>
    <xf numFmtId="168" fontId="88" fillId="0" borderId="6" xfId="0" applyNumberFormat="1" applyFont="1" applyFill="1" applyBorder="1" applyAlignment="1">
      <alignment horizontal="center"/>
    </xf>
    <xf numFmtId="0" fontId="84" fillId="0" borderId="6" xfId="0" applyFont="1" applyFill="1" applyBorder="1" applyAlignment="1">
      <alignment horizontal="center" vertical="center"/>
    </xf>
    <xf numFmtId="0" fontId="27" fillId="0" borderId="6" xfId="0" applyFont="1" applyFill="1" applyBorder="1" applyAlignment="1">
      <alignment horizontal="left"/>
    </xf>
    <xf numFmtId="2" fontId="81" fillId="0" borderId="6" xfId="0" applyNumberFormat="1" applyFont="1" applyFill="1" applyBorder="1" applyAlignment="1">
      <alignment horizontal="right"/>
    </xf>
    <xf numFmtId="4" fontId="2" fillId="0" borderId="6" xfId="0" applyNumberFormat="1" applyFont="1" applyFill="1" applyBorder="1" applyAlignment="1">
      <alignment horizontal="center" vertical="center"/>
    </xf>
    <xf numFmtId="0" fontId="4" fillId="0" borderId="6" xfId="0" applyFont="1" applyFill="1" applyBorder="1" applyAlignment="1">
      <alignment vertical="center"/>
    </xf>
    <xf numFmtId="2" fontId="4" fillId="0" borderId="6" xfId="0" applyNumberFormat="1" applyFont="1" applyFill="1" applyBorder="1" applyAlignment="1">
      <alignment vertical="center"/>
    </xf>
    <xf numFmtId="4" fontId="4" fillId="0" borderId="6" xfId="0" applyNumberFormat="1" applyFont="1" applyFill="1" applyBorder="1" applyAlignment="1">
      <alignment vertical="center"/>
    </xf>
    <xf numFmtId="0" fontId="0" fillId="0" borderId="0" xfId="0" applyNumberFormat="1" applyBorder="1" applyAlignment="1">
      <alignment vertical="distributed"/>
    </xf>
    <xf numFmtId="168" fontId="3"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3" fillId="0" borderId="0" xfId="0" applyFont="1" applyFill="1" applyBorder="1" applyAlignment="1">
      <alignment horizontal="center"/>
    </xf>
    <xf numFmtId="4" fontId="3" fillId="0" borderId="0" xfId="0" applyNumberFormat="1" applyFont="1" applyFill="1" applyBorder="1" applyAlignment="1">
      <alignment horizontal="center"/>
    </xf>
    <xf numFmtId="0" fontId="3" fillId="0" borderId="0" xfId="0" applyFont="1" applyFill="1" applyBorder="1" applyAlignment="1">
      <alignment vertical="center"/>
    </xf>
    <xf numFmtId="168" fontId="5" fillId="0" borderId="0" xfId="0"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horizontal="justify" vertical="center" wrapText="1"/>
    </xf>
    <xf numFmtId="0" fontId="5" fillId="0" borderId="0" xfId="0" applyFont="1" applyFill="1" applyBorder="1" applyAlignment="1">
      <alignment vertical="center"/>
    </xf>
    <xf numFmtId="0" fontId="5" fillId="0" borderId="0" xfId="0" applyFont="1" applyFill="1" applyBorder="1" applyAlignment="1">
      <alignment horizontal="center"/>
    </xf>
    <xf numFmtId="2" fontId="5" fillId="0" borderId="0" xfId="0" applyNumberFormat="1" applyFont="1" applyFill="1" applyBorder="1" applyAlignment="1">
      <alignment horizontal="center"/>
    </xf>
    <xf numFmtId="0" fontId="4" fillId="0" borderId="0" xfId="0" applyFont="1" applyFill="1" applyBorder="1" applyAlignment="1" applyProtection="1">
      <alignment vertical="top"/>
      <protection hidden="1"/>
    </xf>
    <xf numFmtId="0" fontId="29" fillId="0" borderId="0" xfId="0" applyFont="1" applyFill="1" applyBorder="1" applyAlignment="1" applyProtection="1">
      <alignment vertical="top"/>
      <protection hidden="1"/>
    </xf>
    <xf numFmtId="0" fontId="29" fillId="0" borderId="0" xfId="0" applyFont="1" applyFill="1" applyBorder="1" applyAlignment="1" applyProtection="1">
      <alignment horizontal="center"/>
      <protection hidden="1"/>
    </xf>
    <xf numFmtId="0" fontId="4" fillId="0" borderId="0" xfId="0" applyFont="1" applyFill="1" applyBorder="1" applyAlignment="1" applyProtection="1">
      <alignment horizontal="left" vertical="top" indent="2"/>
      <protection hidden="1"/>
    </xf>
    <xf numFmtId="0" fontId="4" fillId="0" borderId="0" xfId="0" applyFont="1" applyFill="1" applyBorder="1" applyAlignment="1" applyProtection="1">
      <alignment horizontal="right" vertical="top"/>
      <protection hidden="1"/>
    </xf>
    <xf numFmtId="0" fontId="9" fillId="0" borderId="0" xfId="0" applyFont="1" applyFill="1" applyBorder="1" applyAlignment="1" applyProtection="1">
      <alignment vertical="top"/>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protection hidden="1"/>
    </xf>
    <xf numFmtId="0" fontId="9" fillId="0" borderId="0" xfId="0" applyFont="1" applyFill="1" applyBorder="1" applyAlignment="1" applyProtection="1">
      <alignment horizontal="right" vertical="top"/>
      <protection hidden="1"/>
    </xf>
    <xf numFmtId="2" fontId="9" fillId="0" borderId="0" xfId="0" applyNumberFormat="1"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0" fillId="0" borderId="0" xfId="0" applyFill="1" applyBorder="1" applyAlignment="1">
      <alignment wrapText="1"/>
    </xf>
    <xf numFmtId="4" fontId="0" fillId="0" borderId="0" xfId="0" applyNumberFormat="1" applyFill="1" applyBorder="1" applyAlignment="1">
      <alignment horizontal="center"/>
    </xf>
    <xf numFmtId="2" fontId="0" fillId="0" borderId="0" xfId="0" applyNumberFormat="1" applyFill="1" applyBorder="1" applyAlignment="1">
      <alignment horizontal="justify" vertical="top" wrapText="1"/>
    </xf>
    <xf numFmtId="2" fontId="2" fillId="0" borderId="0" xfId="0" applyNumberFormat="1" applyFont="1" applyFill="1" applyBorder="1" applyAlignment="1">
      <alignment horizontal="justify" vertical="top" wrapText="1"/>
    </xf>
    <xf numFmtId="0" fontId="0" fillId="0" borderId="0" xfId="0" applyFill="1" applyBorder="1" applyAlignment="1">
      <alignment horizontal="justify" vertical="top" wrapText="1"/>
    </xf>
    <xf numFmtId="168" fontId="4" fillId="0" borderId="0" xfId="0" applyNumberFormat="1" applyFont="1" applyFill="1" applyBorder="1" applyAlignment="1">
      <alignment horizontal="center" wrapText="1"/>
    </xf>
    <xf numFmtId="2" fontId="4" fillId="0" borderId="0" xfId="0" applyNumberFormat="1" applyFont="1" applyFill="1" applyBorder="1" applyAlignment="1">
      <alignment horizontal="right" vertical="top" wrapText="1"/>
    </xf>
    <xf numFmtId="0" fontId="5" fillId="0" borderId="0" xfId="0" applyFont="1" applyFill="1" applyBorder="1" applyAlignment="1">
      <alignment horizontal="justify" vertical="top" wrapText="1"/>
    </xf>
    <xf numFmtId="0" fontId="2" fillId="0" borderId="0" xfId="0" applyFont="1" applyFill="1" applyBorder="1" applyAlignment="1">
      <alignment vertical="center"/>
    </xf>
    <xf numFmtId="0" fontId="2" fillId="0" borderId="0" xfId="0" applyNumberFormat="1" applyFont="1" applyFill="1" applyBorder="1" applyAlignment="1">
      <alignment horizontal="justify" vertical="top" wrapText="1"/>
    </xf>
    <xf numFmtId="2" fontId="4" fillId="0" borderId="0" xfId="0" quotePrefix="1" applyNumberFormat="1" applyFont="1" applyFill="1" applyBorder="1" applyAlignment="1">
      <alignment horizontal="center"/>
    </xf>
    <xf numFmtId="4" fontId="4" fillId="0" borderId="0" xfId="0" applyNumberFormat="1" applyFont="1" applyFill="1" applyBorder="1" applyAlignment="1">
      <alignment horizontal="left"/>
    </xf>
    <xf numFmtId="0" fontId="2" fillId="0" borderId="0" xfId="0" applyFont="1" applyFill="1" applyBorder="1" applyAlignment="1">
      <alignment horizontal="justify" wrapText="1"/>
    </xf>
    <xf numFmtId="0" fontId="28" fillId="0" borderId="0" xfId="0" applyFont="1" applyFill="1" applyBorder="1" applyAlignment="1">
      <alignment horizontal="center"/>
    </xf>
    <xf numFmtId="2" fontId="28" fillId="0" borderId="0" xfId="0" applyNumberFormat="1" applyFont="1" applyFill="1" applyBorder="1" applyAlignment="1">
      <alignment horizontal="center"/>
    </xf>
    <xf numFmtId="0" fontId="4" fillId="0" borderId="0" xfId="0" applyFont="1" applyFill="1" applyBorder="1" applyAlignment="1">
      <alignment horizontal="justify"/>
    </xf>
    <xf numFmtId="0" fontId="28" fillId="0" borderId="0" xfId="0" quotePrefix="1" applyFont="1" applyFill="1" applyBorder="1" applyAlignment="1" applyProtection="1">
      <alignment horizontal="center"/>
      <protection hidden="1"/>
    </xf>
    <xf numFmtId="2" fontId="28" fillId="0" borderId="0" xfId="0" quotePrefix="1" applyNumberFormat="1" applyFont="1" applyFill="1" applyBorder="1" applyAlignment="1" applyProtection="1">
      <alignment horizontal="center"/>
      <protection hidden="1"/>
    </xf>
    <xf numFmtId="2" fontId="40"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0" fontId="10"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28" fillId="0" borderId="0" xfId="0" applyFont="1" applyFill="1" applyBorder="1" applyAlignment="1" applyProtection="1">
      <alignment horizontal="center"/>
      <protection hidden="1"/>
    </xf>
    <xf numFmtId="0" fontId="29" fillId="0" borderId="0" xfId="0" applyFont="1" applyFill="1" applyBorder="1" applyAlignment="1" applyProtection="1">
      <alignment horizontal="left" vertical="top"/>
      <protection hidden="1"/>
    </xf>
    <xf numFmtId="0" fontId="46" fillId="0" borderId="0" xfId="0" applyFont="1" applyFill="1" applyBorder="1" applyAlignment="1">
      <alignment horizontal="center"/>
    </xf>
    <xf numFmtId="2" fontId="29" fillId="0" borderId="0" xfId="0" applyNumberFormat="1" applyFont="1" applyFill="1" applyBorder="1" applyAlignment="1" applyProtection="1">
      <alignment horizontal="center"/>
      <protection hidden="1"/>
    </xf>
    <xf numFmtId="2" fontId="4" fillId="0" borderId="0" xfId="0" quotePrefix="1" applyNumberFormat="1" applyFont="1" applyFill="1" applyBorder="1" applyAlignment="1" applyProtection="1">
      <alignment horizontal="center"/>
      <protection hidden="1"/>
    </xf>
    <xf numFmtId="0" fontId="4" fillId="0" borderId="0" xfId="0" applyFont="1" applyFill="1" applyBorder="1" applyAlignment="1" applyProtection="1">
      <alignment horizontal="right"/>
      <protection hidden="1"/>
    </xf>
    <xf numFmtId="0" fontId="2" fillId="0" borderId="0" xfId="0" applyFont="1" applyFill="1" applyBorder="1" applyAlignment="1" applyProtection="1">
      <alignment horizontal="center" wrapText="1"/>
      <protection hidden="1"/>
    </xf>
    <xf numFmtId="2" fontId="2" fillId="0" borderId="0" xfId="0" applyNumberFormat="1" applyFont="1" applyFill="1" applyBorder="1" applyAlignment="1" applyProtection="1">
      <alignment horizontal="center" wrapText="1"/>
      <protection hidden="1"/>
    </xf>
    <xf numFmtId="2" fontId="4" fillId="0" borderId="0" xfId="0" applyNumberFormat="1" applyFont="1" applyFill="1" applyBorder="1" applyAlignment="1" applyProtection="1">
      <alignment horizontal="center" wrapText="1"/>
      <protection hidden="1"/>
    </xf>
    <xf numFmtId="0" fontId="17" fillId="0" borderId="0" xfId="0" applyFont="1" applyFill="1" applyBorder="1" applyAlignment="1">
      <alignment horizontal="justify" vertical="justify"/>
    </xf>
    <xf numFmtId="0" fontId="4" fillId="0" borderId="0" xfId="0" applyNumberFormat="1" applyFont="1" applyFill="1" applyBorder="1" applyAlignment="1" applyProtection="1">
      <alignment horizontal="center"/>
      <protection hidden="1"/>
    </xf>
    <xf numFmtId="2" fontId="4" fillId="0" borderId="0" xfId="0" quotePrefix="1" applyNumberFormat="1" applyFont="1" applyFill="1" applyBorder="1" applyAlignment="1" applyProtection="1">
      <alignment horizontal="center" wrapText="1"/>
      <protection hidden="1"/>
    </xf>
    <xf numFmtId="0" fontId="29" fillId="0" borderId="0" xfId="0" applyNumberFormat="1" applyFont="1" applyFill="1" applyBorder="1" applyAlignment="1" applyProtection="1">
      <alignment horizontal="center"/>
      <protection hidden="1"/>
    </xf>
    <xf numFmtId="0" fontId="33" fillId="0" borderId="0" xfId="0" applyFont="1" applyFill="1" applyBorder="1" applyAlignment="1" applyProtection="1">
      <alignment vertical="top"/>
      <protection hidden="1"/>
    </xf>
    <xf numFmtId="0" fontId="98" fillId="0" borderId="0" xfId="0" applyFont="1" applyFill="1" applyBorder="1" applyAlignment="1">
      <alignment horizontal="center" vertical="top"/>
    </xf>
    <xf numFmtId="0" fontId="99" fillId="0" borderId="0" xfId="0" applyFont="1" applyFill="1" applyBorder="1" applyAlignment="1">
      <alignment horizontal="justify" vertical="top"/>
    </xf>
    <xf numFmtId="0" fontId="98" fillId="0" borderId="0" xfId="0" applyFont="1" applyFill="1" applyBorder="1" applyAlignment="1">
      <alignment horizontal="justify" vertical="top"/>
    </xf>
    <xf numFmtId="43" fontId="98" fillId="0" borderId="0" xfId="1" applyNumberFormat="1" applyFont="1" applyFill="1" applyBorder="1" applyAlignment="1">
      <alignment horizontal="center" vertical="top"/>
    </xf>
    <xf numFmtId="2" fontId="98" fillId="0" borderId="0" xfId="0" applyNumberFormat="1" applyFont="1" applyFill="1" applyBorder="1" applyAlignment="1">
      <alignment horizontal="center" vertical="top"/>
    </xf>
    <xf numFmtId="0" fontId="98" fillId="0" borderId="0" xfId="0" applyFont="1" applyFill="1" applyBorder="1" applyAlignment="1">
      <alignment horizontal="justify" vertical="center"/>
    </xf>
    <xf numFmtId="2" fontId="99" fillId="0" borderId="0" xfId="0" applyNumberFormat="1" applyFont="1" applyFill="1" applyBorder="1" applyAlignment="1">
      <alignment horizontal="center" vertical="top"/>
    </xf>
    <xf numFmtId="0" fontId="99" fillId="0" borderId="0" xfId="0" applyFont="1" applyFill="1" applyBorder="1" applyAlignment="1">
      <alignment horizontal="center" vertical="top"/>
    </xf>
    <xf numFmtId="0" fontId="73" fillId="5" borderId="0" xfId="0" applyFont="1" applyFill="1" applyBorder="1" applyAlignment="1">
      <alignment horizontal="center"/>
    </xf>
    <xf numFmtId="0" fontId="73" fillId="5" borderId="0" xfId="0" applyFont="1" applyFill="1"/>
    <xf numFmtId="2" fontId="73" fillId="5" borderId="0" xfId="0" applyNumberFormat="1" applyFont="1" applyFill="1" applyAlignment="1">
      <alignment horizontal="center"/>
    </xf>
    <xf numFmtId="0" fontId="73" fillId="5" borderId="0" xfId="0" applyFont="1" applyFill="1" applyAlignment="1">
      <alignment horizontal="center"/>
    </xf>
    <xf numFmtId="0" fontId="4" fillId="0" borderId="6" xfId="0" applyFont="1" applyFill="1" applyBorder="1" applyAlignment="1">
      <alignment horizontal="center" vertical="center" wrapText="1"/>
    </xf>
    <xf numFmtId="0" fontId="74" fillId="0" borderId="6" xfId="0" applyFont="1" applyFill="1" applyBorder="1" applyAlignment="1">
      <alignment horizontal="center" vertical="center" wrapText="1"/>
    </xf>
    <xf numFmtId="2" fontId="74" fillId="0" borderId="6" xfId="0" applyNumberFormat="1" applyFont="1" applyFill="1" applyBorder="1" applyAlignment="1">
      <alignment horizontal="center" vertical="center"/>
    </xf>
    <xf numFmtId="164" fontId="74" fillId="0" borderId="6" xfId="1" applyFont="1" applyFill="1" applyBorder="1" applyAlignment="1">
      <alignment horizontal="center" vertical="center"/>
    </xf>
    <xf numFmtId="0" fontId="4" fillId="6" borderId="6" xfId="0" applyFont="1" applyFill="1" applyBorder="1" applyAlignment="1">
      <alignment horizontal="center" vertical="center" wrapText="1"/>
    </xf>
    <xf numFmtId="0" fontId="74" fillId="6" borderId="6" xfId="0" applyFont="1" applyFill="1" applyBorder="1" applyAlignment="1">
      <alignment horizontal="center" vertical="center" wrapText="1"/>
    </xf>
    <xf numFmtId="0" fontId="0" fillId="6" borderId="0" xfId="0" applyFill="1"/>
    <xf numFmtId="0" fontId="0" fillId="6" borderId="6" xfId="0" applyFill="1" applyBorder="1"/>
    <xf numFmtId="0" fontId="0" fillId="6" borderId="6" xfId="0" applyFill="1" applyBorder="1" applyAlignment="1">
      <alignment horizontal="center" vertical="center"/>
    </xf>
    <xf numFmtId="0" fontId="0" fillId="0" borderId="0" xfId="0" applyAlignment="1"/>
    <xf numFmtId="0" fontId="4" fillId="6" borderId="6" xfId="0" applyFont="1" applyFill="1" applyBorder="1" applyAlignment="1">
      <alignment horizontal="center" vertical="center"/>
    </xf>
    <xf numFmtId="0" fontId="2" fillId="0" borderId="6" xfId="0" applyFont="1" applyBorder="1" applyAlignment="1">
      <alignment horizontal="center" vertical="center"/>
    </xf>
    <xf numFmtId="43" fontId="0" fillId="6" borderId="0" xfId="0" applyNumberFormat="1" applyFill="1"/>
    <xf numFmtId="43" fontId="0" fillId="0" borderId="0" xfId="0" applyNumberFormat="1"/>
    <xf numFmtId="43" fontId="4" fillId="0" borderId="0" xfId="0" applyNumberFormat="1" applyFont="1"/>
    <xf numFmtId="43" fontId="4" fillId="5" borderId="0" xfId="0" applyNumberFormat="1" applyFont="1" applyFill="1"/>
    <xf numFmtId="0" fontId="2" fillId="0" borderId="6" xfId="0" applyFont="1" applyFill="1" applyBorder="1" applyAlignment="1">
      <alignment vertical="top"/>
    </xf>
    <xf numFmtId="0" fontId="0" fillId="0" borderId="6" xfId="0" applyBorder="1" applyAlignment="1"/>
    <xf numFmtId="2" fontId="74" fillId="0" borderId="6" xfId="0" applyNumberFormat="1" applyFont="1" applyFill="1" applyBorder="1" applyAlignment="1">
      <alignment horizontal="right" vertical="center"/>
    </xf>
    <xf numFmtId="0" fontId="27" fillId="0" borderId="2" xfId="0" applyFont="1" applyFill="1" applyBorder="1" applyAlignment="1">
      <alignment vertical="top"/>
    </xf>
    <xf numFmtId="164" fontId="80" fillId="0" borderId="6" xfId="1" applyFont="1" applyFill="1" applyBorder="1" applyAlignment="1">
      <alignment horizontal="center" vertical="center"/>
    </xf>
    <xf numFmtId="164" fontId="4" fillId="0" borderId="6" xfId="1" applyFont="1" applyFill="1" applyBorder="1" applyAlignment="1">
      <alignment horizontal="center" vertical="center"/>
    </xf>
    <xf numFmtId="164" fontId="64" fillId="0" borderId="6" xfId="1" applyFont="1" applyFill="1" applyBorder="1"/>
    <xf numFmtId="164" fontId="0" fillId="0" borderId="6" xfId="1" applyFont="1" applyFill="1" applyBorder="1" applyAlignment="1">
      <alignment horizontal="center" vertical="center"/>
    </xf>
    <xf numFmtId="164" fontId="2" fillId="0" borderId="6" xfId="0" applyNumberFormat="1" applyFont="1" applyFill="1" applyBorder="1"/>
    <xf numFmtId="0" fontId="6" fillId="0" borderId="6" xfId="0" applyFont="1" applyFill="1" applyBorder="1" applyAlignment="1">
      <alignment horizontal="center" vertical="center" wrapText="1"/>
    </xf>
    <xf numFmtId="2" fontId="0" fillId="6" borderId="6" xfId="0" applyNumberFormat="1" applyFill="1" applyBorder="1" applyAlignment="1">
      <alignment horizontal="center" vertical="center"/>
    </xf>
    <xf numFmtId="164" fontId="0" fillId="6" borderId="6" xfId="0" applyNumberFormat="1" applyFill="1" applyBorder="1" applyAlignment="1">
      <alignment horizontal="center" vertical="center"/>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6" xfId="0" applyFont="1" applyFill="1" applyBorder="1" applyAlignment="1">
      <alignment horizontal="center" vertical="top"/>
    </xf>
    <xf numFmtId="0" fontId="2" fillId="0" borderId="8" xfId="0" applyFont="1" applyFill="1" applyBorder="1" applyAlignment="1">
      <alignment horizontal="center" vertical="center" wrapText="1"/>
    </xf>
    <xf numFmtId="2"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6" fillId="0" borderId="6" xfId="0" applyFont="1" applyFill="1" applyBorder="1" applyAlignment="1">
      <alignment vertical="center" wrapText="1"/>
    </xf>
    <xf numFmtId="2" fontId="2" fillId="0" borderId="8"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xf>
    <xf numFmtId="2" fontId="74" fillId="6" borderId="6" xfId="0" applyNumberFormat="1" applyFont="1" applyFill="1" applyBorder="1" applyAlignment="1">
      <alignment horizontal="center" vertical="center"/>
    </xf>
    <xf numFmtId="1" fontId="2" fillId="0" borderId="8"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xf>
    <xf numFmtId="0" fontId="65" fillId="0" borderId="6" xfId="0" applyFont="1" applyFill="1" applyBorder="1" applyAlignment="1">
      <alignment horizontal="center" vertical="top"/>
    </xf>
    <xf numFmtId="0" fontId="66" fillId="0" borderId="6" xfId="0" applyFont="1" applyFill="1" applyBorder="1" applyAlignment="1">
      <alignment horizontal="center" wrapText="1"/>
    </xf>
    <xf numFmtId="0" fontId="65" fillId="0" borderId="6" xfId="0" applyFont="1" applyFill="1" applyBorder="1" applyAlignment="1">
      <alignment horizontal="center" vertical="top" wrapText="1"/>
    </xf>
    <xf numFmtId="0" fontId="67" fillId="0" borderId="6" xfId="0" applyFont="1" applyFill="1" applyBorder="1" applyAlignment="1">
      <alignment horizontal="justify" vertical="justify" wrapText="1"/>
    </xf>
    <xf numFmtId="1" fontId="4" fillId="0" borderId="6" xfId="0" applyNumberFormat="1" applyFont="1" applyFill="1" applyBorder="1" applyAlignment="1">
      <alignment horizontal="center" vertical="top"/>
    </xf>
    <xf numFmtId="0" fontId="4" fillId="0" borderId="6" xfId="0" applyFont="1" applyFill="1" applyBorder="1" applyAlignment="1">
      <alignment horizontal="justify" vertical="justify"/>
    </xf>
    <xf numFmtId="1" fontId="4" fillId="0" borderId="6" xfId="0" applyNumberFormat="1" applyFont="1" applyBorder="1"/>
    <xf numFmtId="1" fontId="4" fillId="0" borderId="6" xfId="0" applyNumberFormat="1" applyFont="1" applyBorder="1" applyAlignment="1">
      <alignment horizontal="center" vertical="top"/>
    </xf>
    <xf numFmtId="0" fontId="4" fillId="0" borderId="6" xfId="0" applyFont="1" applyFill="1" applyBorder="1" applyAlignment="1">
      <alignment horizontal="justify" vertical="justify" wrapText="1"/>
    </xf>
    <xf numFmtId="0" fontId="4" fillId="0" borderId="6" xfId="0" applyFont="1" applyBorder="1" applyAlignment="1">
      <alignment horizontal="center" vertical="top"/>
    </xf>
    <xf numFmtId="0" fontId="4" fillId="0" borderId="6" xfId="0" applyFont="1" applyBorder="1" applyAlignment="1">
      <alignment horizontal="justify" vertical="justify"/>
    </xf>
    <xf numFmtId="2" fontId="66" fillId="0" borderId="6" xfId="0" applyNumberFormat="1" applyFont="1" applyFill="1" applyBorder="1" applyAlignment="1">
      <alignment horizontal="center" vertical="top"/>
    </xf>
    <xf numFmtId="0" fontId="65" fillId="0" borderId="6" xfId="0" applyFont="1" applyFill="1" applyBorder="1" applyAlignment="1">
      <alignment horizontal="center" vertical="justify"/>
    </xf>
    <xf numFmtId="0" fontId="65" fillId="0" borderId="6" xfId="0" applyFont="1" applyFill="1" applyBorder="1" applyAlignment="1">
      <alignment horizontal="center"/>
    </xf>
    <xf numFmtId="0" fontId="67" fillId="0" borderId="6" xfId="0" applyFont="1" applyFill="1" applyBorder="1" applyAlignment="1">
      <alignment horizontal="justify" vertical="justify"/>
    </xf>
    <xf numFmtId="0" fontId="66" fillId="0" borderId="6" xfId="0" applyFont="1" applyFill="1" applyBorder="1" applyAlignment="1">
      <alignment horizontal="center"/>
    </xf>
    <xf numFmtId="0" fontId="4"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0" fontId="29" fillId="0" borderId="6" xfId="0" applyFont="1" applyFill="1" applyBorder="1" applyAlignment="1">
      <alignment horizontal="justify" vertical="justify"/>
    </xf>
    <xf numFmtId="0" fontId="66" fillId="0" borderId="6" xfId="0" applyFont="1" applyFill="1" applyBorder="1" applyAlignment="1">
      <alignment horizontal="center" vertical="top"/>
    </xf>
    <xf numFmtId="0" fontId="66" fillId="0" borderId="6" xfId="0" applyFont="1" applyFill="1" applyBorder="1" applyAlignment="1">
      <alignment horizontal="justify" vertical="justify"/>
    </xf>
    <xf numFmtId="0" fontId="2" fillId="0" borderId="6" xfId="0" applyFont="1" applyFill="1" applyBorder="1" applyAlignment="1">
      <alignment horizontal="justify" vertical="justify"/>
    </xf>
    <xf numFmtId="0" fontId="33" fillId="0" borderId="6" xfId="0" applyFont="1" applyFill="1" applyBorder="1" applyAlignment="1">
      <alignment horizontal="justify" vertical="justify"/>
    </xf>
    <xf numFmtId="0" fontId="4" fillId="0" borderId="6" xfId="0" applyFont="1" applyFill="1" applyBorder="1" applyAlignment="1">
      <alignment horizontal="left" vertical="justify"/>
    </xf>
    <xf numFmtId="0" fontId="66" fillId="0" borderId="6" xfId="0" applyFont="1" applyBorder="1"/>
    <xf numFmtId="0" fontId="74" fillId="6" borderId="6" xfId="0" applyFont="1" applyFill="1" applyBorder="1" applyAlignment="1">
      <alignment horizontal="left" vertical="center" wrapText="1"/>
    </xf>
    <xf numFmtId="0" fontId="0" fillId="6" borderId="6" xfId="0" applyFill="1" applyBorder="1" applyAlignment="1">
      <alignment wrapText="1"/>
    </xf>
    <xf numFmtId="0" fontId="100" fillId="6" borderId="6" xfId="0" applyFont="1" applyFill="1" applyBorder="1" applyAlignment="1">
      <alignment horizontal="left" vertical="center" wrapText="1"/>
    </xf>
    <xf numFmtId="0" fontId="100" fillId="0" borderId="6" xfId="0" applyFont="1" applyFill="1" applyBorder="1" applyAlignment="1">
      <alignment horizontal="left" vertical="center" wrapText="1"/>
    </xf>
    <xf numFmtId="0" fontId="78" fillId="6" borderId="6" xfId="0" applyFont="1" applyFill="1" applyBorder="1" applyAlignment="1">
      <alignment horizontal="left" vertical="top" wrapText="1"/>
    </xf>
    <xf numFmtId="0" fontId="78" fillId="0" borderId="6" xfId="0" applyFont="1" applyFill="1" applyBorder="1" applyAlignment="1">
      <alignment horizontal="left" vertical="top" wrapText="1"/>
    </xf>
    <xf numFmtId="0" fontId="74" fillId="0" borderId="6" xfId="0" applyFont="1" applyFill="1" applyBorder="1" applyAlignment="1">
      <alignment horizontal="left" vertical="center" wrapText="1"/>
    </xf>
    <xf numFmtId="0" fontId="101" fillId="0" borderId="6" xfId="0" applyFont="1" applyFill="1" applyBorder="1" applyAlignment="1">
      <alignment horizontal="left" vertical="center" wrapText="1"/>
    </xf>
    <xf numFmtId="0" fontId="4" fillId="6" borderId="6" xfId="0" applyFont="1" applyFill="1" applyBorder="1"/>
    <xf numFmtId="0" fontId="74" fillId="6" borderId="6" xfId="0" applyNumberFormat="1" applyFont="1" applyFill="1" applyBorder="1" applyAlignment="1">
      <alignment horizontal="left" vertical="center" wrapText="1"/>
    </xf>
    <xf numFmtId="0" fontId="80" fillId="6" borderId="6" xfId="0" applyFont="1" applyFill="1" applyBorder="1" applyAlignment="1">
      <alignment horizontal="left" vertical="center" wrapText="1"/>
    </xf>
    <xf numFmtId="0" fontId="37" fillId="0" borderId="6" xfId="0" applyFont="1" applyBorder="1" applyAlignment="1">
      <alignment vertical="center" wrapText="1"/>
    </xf>
    <xf numFmtId="0" fontId="2" fillId="0" borderId="6" xfId="0" applyFont="1" applyBorder="1" applyAlignment="1">
      <alignment horizontal="center" vertical="center" wrapText="1"/>
    </xf>
    <xf numFmtId="3" fontId="0" fillId="6" borderId="6" xfId="0" applyNumberFormat="1" applyFill="1" applyBorder="1" applyAlignment="1">
      <alignment horizontal="center" vertical="center"/>
    </xf>
    <xf numFmtId="0" fontId="4" fillId="0" borderId="6" xfId="0" applyFont="1" applyBorder="1" applyAlignment="1">
      <alignment horizontal="center" vertical="center"/>
    </xf>
    <xf numFmtId="0" fontId="4" fillId="6" borderId="6" xfId="0" applyFont="1" applyFill="1" applyBorder="1" applyAlignment="1">
      <alignment horizontal="left" vertical="center" wrapText="1"/>
    </xf>
    <xf numFmtId="0" fontId="74" fillId="6" borderId="10" xfId="0" applyFont="1" applyFill="1" applyBorder="1" applyAlignment="1">
      <alignment horizontal="left" vertical="center" wrapText="1"/>
    </xf>
    <xf numFmtId="0" fontId="4" fillId="6" borderId="8" xfId="0" applyFont="1" applyFill="1" applyBorder="1" applyAlignment="1">
      <alignment horizontal="left" vertical="center" wrapText="1"/>
    </xf>
    <xf numFmtId="0" fontId="74" fillId="6" borderId="8" xfId="0" applyFont="1" applyFill="1" applyBorder="1" applyAlignment="1">
      <alignment horizontal="left" vertical="center" wrapText="1"/>
    </xf>
    <xf numFmtId="0" fontId="4" fillId="0" borderId="6" xfId="0" applyFont="1" applyBorder="1" applyAlignment="1">
      <alignment horizontal="center" vertical="center"/>
    </xf>
    <xf numFmtId="0" fontId="0" fillId="0" borderId="2" xfId="0" applyBorder="1"/>
    <xf numFmtId="0" fontId="4" fillId="6" borderId="10" xfId="0" applyFont="1" applyFill="1" applyBorder="1" applyAlignment="1">
      <alignment horizontal="left" vertical="center" wrapText="1"/>
    </xf>
    <xf numFmtId="0" fontId="1" fillId="0" borderId="6" xfId="0" applyFont="1" applyBorder="1" applyAlignment="1">
      <alignment horizontal="center" vertic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4" fillId="0" borderId="6" xfId="0" applyFont="1" applyBorder="1" applyAlignment="1">
      <alignment horizontal="center" vertical="center"/>
    </xf>
    <xf numFmtId="0" fontId="4" fillId="0" borderId="8" xfId="0" applyFont="1" applyFill="1" applyBorder="1" applyAlignment="1">
      <alignment horizontal="center" vertical="center"/>
    </xf>
    <xf numFmtId="164" fontId="4" fillId="0" borderId="8" xfId="1" applyFont="1" applyFill="1" applyBorder="1" applyAlignment="1">
      <alignment horizontal="center" vertical="center"/>
    </xf>
    <xf numFmtId="0" fontId="4" fillId="0" borderId="8" xfId="0" applyFont="1" applyBorder="1" applyAlignment="1">
      <alignment horizontal="center" vertical="center"/>
    </xf>
    <xf numFmtId="0" fontId="4" fillId="0" borderId="6" xfId="0" applyFont="1" applyFill="1" applyBorder="1" applyAlignment="1">
      <alignment horizontal="center" vertical="center"/>
    </xf>
    <xf numFmtId="164" fontId="4" fillId="0" borderId="6" xfId="1"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32" fillId="0" borderId="0" xfId="0" applyFont="1" applyFill="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5" fillId="0" borderId="0" xfId="0" applyFont="1" applyFill="1" applyAlignment="1">
      <alignment horizontal="center" vertical="center"/>
    </xf>
    <xf numFmtId="2" fontId="73" fillId="0" borderId="0" xfId="0" applyNumberFormat="1" applyFont="1" applyFill="1" applyBorder="1" applyAlignment="1">
      <alignment horizontal="center" vertical="center"/>
    </xf>
    <xf numFmtId="0" fontId="0" fillId="0" borderId="0" xfId="0" applyFill="1" applyBorder="1" applyAlignment="1">
      <alignment horizontal="left" vertical="center"/>
    </xf>
    <xf numFmtId="0" fontId="73" fillId="5" borderId="0" xfId="0" applyFont="1" applyFill="1" applyBorder="1" applyAlignment="1">
      <alignment horizontal="center" vertical="center"/>
    </xf>
    <xf numFmtId="2" fontId="0" fillId="0" borderId="0" xfId="0" applyNumberFormat="1" applyFill="1" applyBorder="1" applyAlignment="1">
      <alignment horizontal="center" vertical="center"/>
    </xf>
    <xf numFmtId="0" fontId="15" fillId="0" borderId="0" xfId="0" applyFont="1" applyFill="1" applyAlignment="1">
      <alignment horizontal="center"/>
    </xf>
    <xf numFmtId="0" fontId="4" fillId="0" borderId="0" xfId="0" applyFont="1" applyFill="1" applyAlignment="1">
      <alignment horizontal="left" vertical="top" wrapText="1"/>
    </xf>
    <xf numFmtId="0" fontId="0" fillId="0" borderId="0" xfId="0" applyFill="1" applyAlignment="1">
      <alignment horizontal="left"/>
    </xf>
    <xf numFmtId="0" fontId="4" fillId="5" borderId="0" xfId="0" applyFont="1" applyFill="1" applyBorder="1" applyAlignment="1">
      <alignment horizontal="center" vertical="center"/>
    </xf>
    <xf numFmtId="2" fontId="4" fillId="0" borderId="0" xfId="0" applyNumberFormat="1" applyFont="1" applyFill="1" applyAlignment="1" applyProtection="1">
      <alignment horizontal="center"/>
      <protection hidden="1"/>
    </xf>
    <xf numFmtId="2" fontId="4" fillId="0" borderId="0" xfId="0" applyNumberFormat="1" applyFont="1" applyFill="1" applyAlignment="1" applyProtection="1">
      <alignment horizontal="center" wrapText="1"/>
      <protection hidden="1"/>
    </xf>
    <xf numFmtId="0" fontId="4" fillId="0" borderId="0" xfId="0" applyNumberFormat="1" applyFont="1" applyFill="1" applyAlignment="1" applyProtection="1">
      <alignment horizontal="justify" vertical="top" wrapText="1"/>
      <protection hidden="1"/>
    </xf>
    <xf numFmtId="0" fontId="2" fillId="0" borderId="0" xfId="0" applyFont="1" applyFill="1" applyAlignment="1" applyProtection="1">
      <alignment horizontal="center" wrapText="1"/>
      <protection hidden="1"/>
    </xf>
    <xf numFmtId="0" fontId="80" fillId="0" borderId="0" xfId="0"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6" fillId="0" borderId="0" xfId="0" applyFont="1" applyFill="1" applyAlignment="1">
      <alignment horizontal="center" wrapText="1"/>
    </xf>
    <xf numFmtId="0" fontId="4" fillId="0" borderId="0" xfId="0" applyFont="1" applyFill="1" applyAlignment="1">
      <alignment horizontal="center"/>
    </xf>
    <xf numFmtId="0" fontId="102" fillId="0" borderId="0" xfId="0" applyFont="1" applyFill="1" applyBorder="1" applyAlignment="1">
      <alignment horizontal="justify" vertical="top"/>
    </xf>
    <xf numFmtId="0" fontId="0" fillId="0" borderId="0" xfId="0" applyFill="1" applyAlignment="1">
      <alignment horizontal="center"/>
    </xf>
    <xf numFmtId="0" fontId="18" fillId="0" borderId="0" xfId="0" applyFont="1" applyFill="1" applyBorder="1" applyAlignment="1">
      <alignment horizontal="justify" vertical="top"/>
    </xf>
    <xf numFmtId="0" fontId="27" fillId="0" borderId="0" xfId="0" applyFont="1" applyFill="1" applyBorder="1" applyAlignment="1">
      <alignment horizontal="center" vertical="top" wrapText="1"/>
    </xf>
    <xf numFmtId="0" fontId="4" fillId="0" borderId="0" xfId="0" applyFont="1" applyFill="1" applyAlignment="1">
      <alignment horizontal="center" vertical="top" wrapText="1"/>
    </xf>
    <xf numFmtId="0" fontId="100" fillId="0" borderId="0" xfId="0" applyFont="1" applyBorder="1" applyAlignment="1">
      <alignment horizontal="center" vertical="center" wrapText="1"/>
    </xf>
    <xf numFmtId="0" fontId="2" fillId="0" borderId="0" xfId="0" applyFont="1" applyFill="1" applyBorder="1" applyAlignment="1">
      <alignment horizontal="center" wrapText="1"/>
    </xf>
    <xf numFmtId="0" fontId="4" fillId="0" borderId="0" xfId="0" applyFont="1" applyBorder="1" applyAlignment="1">
      <alignment horizontal="left" vertical="center" wrapText="1"/>
    </xf>
    <xf numFmtId="0" fontId="4" fillId="0" borderId="0" xfId="0" applyFont="1" applyBorder="1" applyAlignment="1">
      <alignment horizontal="right"/>
    </xf>
    <xf numFmtId="0" fontId="0" fillId="0" borderId="0" xfId="0" applyFill="1" applyBorder="1" applyAlignment="1">
      <alignment horizontal="center"/>
    </xf>
    <xf numFmtId="0" fontId="0" fillId="0" borderId="0" xfId="0" applyFill="1" applyBorder="1" applyAlignment="1">
      <alignment horizontal="left"/>
    </xf>
    <xf numFmtId="0" fontId="70" fillId="0" borderId="0" xfId="0" applyFont="1" applyFill="1" applyBorder="1" applyAlignment="1">
      <alignment horizontal="left"/>
    </xf>
    <xf numFmtId="0" fontId="0" fillId="0" borderId="0" xfId="0" applyAlignment="1">
      <alignment horizontal="center"/>
    </xf>
    <xf numFmtId="0" fontId="16" fillId="0" borderId="0" xfId="0" applyFont="1" applyFill="1" applyBorder="1" applyAlignment="1">
      <alignment horizontal="center" vertical="center" wrapText="1"/>
    </xf>
    <xf numFmtId="2" fontId="0" fillId="0" borderId="0" xfId="0" applyNumberFormat="1" applyFill="1" applyAlignment="1">
      <alignment horizontal="center"/>
    </xf>
    <xf numFmtId="2" fontId="0" fillId="0" borderId="0" xfId="0" applyNumberFormat="1" applyAlignment="1">
      <alignment horizontal="center"/>
    </xf>
    <xf numFmtId="167" fontId="0" fillId="0" borderId="0" xfId="0" applyNumberFormat="1" applyFill="1" applyAlignment="1">
      <alignment horizontal="center"/>
    </xf>
    <xf numFmtId="0" fontId="103" fillId="0" borderId="0" xfId="0" applyFont="1" applyFill="1" applyBorder="1" applyAlignment="1">
      <alignment horizontal="center"/>
    </xf>
    <xf numFmtId="0" fontId="0" fillId="0" borderId="0" xfId="0" applyFont="1" applyAlignment="1">
      <alignment horizontal="center"/>
    </xf>
    <xf numFmtId="0" fontId="35"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4" fillId="0" borderId="0" xfId="0" applyFont="1" applyAlignment="1">
      <alignment horizontal="center"/>
    </xf>
    <xf numFmtId="0" fontId="4" fillId="0" borderId="0" xfId="0" applyFont="1" applyAlignment="1">
      <alignment horizontal="center" vertical="center"/>
    </xf>
    <xf numFmtId="2" fontId="4" fillId="0" borderId="0" xfId="0" applyNumberFormat="1" applyFont="1" applyFill="1" applyBorder="1" applyAlignment="1" applyProtection="1">
      <alignment horizontal="center"/>
      <protection hidden="1"/>
    </xf>
    <xf numFmtId="2" fontId="4" fillId="0" borderId="0" xfId="0"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justify" vertical="top" wrapText="1"/>
      <protection hidden="1"/>
    </xf>
    <xf numFmtId="0" fontId="2" fillId="0" borderId="0" xfId="0" applyFont="1" applyFill="1" applyBorder="1" applyAlignment="1" applyProtection="1">
      <alignment horizontal="center" wrapText="1"/>
      <protection hidden="1"/>
    </xf>
    <xf numFmtId="0" fontId="4" fillId="0" borderId="0" xfId="0" applyFont="1" applyFill="1" applyBorder="1" applyAlignment="1">
      <alignment horizontal="center"/>
    </xf>
    <xf numFmtId="0" fontId="4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Alignment="1">
      <alignment horizontal="center" vertical="center" wrapText="1"/>
    </xf>
    <xf numFmtId="0" fontId="35" fillId="0"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168" fontId="4" fillId="0" borderId="0" xfId="0" applyNumberFormat="1" applyFont="1" applyFill="1" applyAlignment="1">
      <alignment horizontal="center"/>
    </xf>
    <xf numFmtId="168" fontId="4" fillId="0" borderId="0" xfId="6" applyNumberFormat="1" applyFont="1" applyFill="1" applyBorder="1" applyAlignment="1">
      <alignment horizontal="center"/>
    </xf>
    <xf numFmtId="2" fontId="4" fillId="0" borderId="0" xfId="0" applyNumberFormat="1" applyFont="1" applyFill="1" applyBorder="1" applyAlignment="1">
      <alignment horizontal="center"/>
    </xf>
    <xf numFmtId="164" fontId="0" fillId="4" borderId="0" xfId="0" applyNumberForma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center"/>
    </xf>
    <xf numFmtId="0" fontId="15" fillId="4" borderId="0" xfId="0" applyFont="1" applyFill="1" applyAlignment="1">
      <alignment horizontal="center"/>
    </xf>
    <xf numFmtId="0" fontId="44" fillId="0" borderId="0" xfId="0" applyFont="1" applyFill="1" applyBorder="1" applyAlignment="1">
      <alignment horizontal="center" wrapText="1"/>
    </xf>
    <xf numFmtId="0" fontId="50" fillId="0" borderId="0" xfId="0" applyFont="1" applyFill="1" applyBorder="1" applyAlignment="1">
      <alignment horizontal="center" wrapText="1"/>
    </xf>
    <xf numFmtId="0" fontId="44" fillId="0" borderId="0" xfId="0" applyFont="1" applyBorder="1" applyAlignment="1">
      <alignment horizontal="center" wrapText="1"/>
    </xf>
    <xf numFmtId="0" fontId="15" fillId="0" borderId="0" xfId="0" applyFont="1" applyAlignment="1">
      <alignment horizontal="center" vertical="center"/>
    </xf>
    <xf numFmtId="0" fontId="43"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4" fillId="0" borderId="6" xfId="0" applyFont="1" applyFill="1" applyBorder="1" applyAlignment="1">
      <alignment horizontal="center"/>
    </xf>
    <xf numFmtId="0" fontId="60" fillId="0" borderId="6" xfId="0" applyFont="1" applyFill="1" applyBorder="1" applyAlignment="1">
      <alignment horizontal="center" vertical="center" wrapText="1"/>
    </xf>
    <xf numFmtId="0" fontId="0" fillId="0" borderId="6" xfId="0" applyFill="1" applyBorder="1" applyAlignment="1">
      <alignment horizontal="center"/>
    </xf>
    <xf numFmtId="168" fontId="4" fillId="0" borderId="6" xfId="0" applyNumberFormat="1" applyFont="1" applyFill="1" applyBorder="1" applyAlignment="1">
      <alignment horizontal="center" vertical="center"/>
    </xf>
    <xf numFmtId="168" fontId="0" fillId="0" borderId="6" xfId="0" applyNumberFormat="1" applyFill="1" applyBorder="1" applyAlignment="1">
      <alignment horizontal="center" vertical="center"/>
    </xf>
    <xf numFmtId="0" fontId="27"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29" fillId="0" borderId="6" xfId="0" applyFont="1" applyBorder="1" applyAlignment="1">
      <alignment horizontal="center" vertical="center"/>
    </xf>
    <xf numFmtId="0" fontId="4" fillId="0" borderId="6" xfId="0" applyFont="1" applyBorder="1" applyAlignment="1">
      <alignment horizontal="left" vertical="center"/>
    </xf>
    <xf numFmtId="164" fontId="4" fillId="0" borderId="6" xfId="1" applyFont="1" applyBorder="1" applyAlignment="1">
      <alignment horizontal="center" vertical="center"/>
    </xf>
    <xf numFmtId="164" fontId="105" fillId="0" borderId="6" xfId="1" applyFont="1" applyBorder="1" applyAlignment="1">
      <alignment horizontal="center"/>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1" fillId="0" borderId="6" xfId="0" applyFont="1" applyBorder="1" applyAlignment="1">
      <alignment horizontal="left" vertical="top"/>
    </xf>
    <xf numFmtId="0" fontId="4" fillId="0" borderId="6" xfId="0" applyFont="1" applyBorder="1" applyAlignment="1">
      <alignment horizontal="left" vertical="top"/>
    </xf>
    <xf numFmtId="0" fontId="2" fillId="0" borderId="6" xfId="0" applyFont="1" applyBorder="1" applyAlignment="1">
      <alignment horizontal="center" vertical="top" wrapText="1"/>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74" fontId="2" fillId="0" borderId="6" xfId="0" applyNumberFormat="1" applyFont="1" applyBorder="1" applyAlignment="1">
      <alignment horizontal="center" vertical="center"/>
    </xf>
    <xf numFmtId="0" fontId="4" fillId="0" borderId="6" xfId="0" applyFont="1" applyBorder="1" applyAlignment="1">
      <alignment horizontal="center" vertical="center"/>
    </xf>
    <xf numFmtId="164" fontId="0" fillId="0" borderId="10" xfId="1" applyFont="1" applyFill="1" applyBorder="1" applyAlignment="1">
      <alignment horizontal="center" vertical="center"/>
    </xf>
    <xf numFmtId="164" fontId="0" fillId="0" borderId="8" xfId="1" applyFont="1" applyFill="1" applyBorder="1" applyAlignment="1">
      <alignment horizontal="center" vertical="center"/>
    </xf>
    <xf numFmtId="164" fontId="64" fillId="0" borderId="10" xfId="1" applyFont="1" applyFill="1" applyBorder="1" applyAlignment="1">
      <alignment horizontal="center"/>
    </xf>
    <xf numFmtId="164" fontId="64" fillId="0" borderId="8" xfId="1" applyFont="1" applyFill="1" applyBorder="1" applyAlignment="1">
      <alignment horizontal="center"/>
    </xf>
    <xf numFmtId="0" fontId="6"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68" fillId="0" borderId="1" xfId="0" applyFont="1" applyFill="1" applyBorder="1" applyAlignment="1">
      <alignment horizontal="center" vertical="center" wrapText="1"/>
    </xf>
    <xf numFmtId="0" fontId="68" fillId="0" borderId="3"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0" fontId="65" fillId="0" borderId="6" xfId="0" applyFont="1" applyFill="1" applyBorder="1" applyAlignment="1">
      <alignment horizontal="center" vertical="justify"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164" fontId="4" fillId="0" borderId="10" xfId="1" applyFont="1" applyFill="1" applyBorder="1" applyAlignment="1">
      <alignment horizontal="center" vertical="center"/>
    </xf>
    <xf numFmtId="164" fontId="4" fillId="0" borderId="11" xfId="1" applyFont="1" applyFill="1" applyBorder="1" applyAlignment="1">
      <alignment horizontal="center" vertical="center"/>
    </xf>
    <xf numFmtId="164" fontId="4" fillId="0" borderId="8" xfId="1" applyFont="1" applyFill="1" applyBorder="1" applyAlignment="1">
      <alignment horizontal="center" vertical="center"/>
    </xf>
    <xf numFmtId="0" fontId="4" fillId="0" borderId="11" xfId="0" applyFont="1" applyBorder="1" applyAlignment="1">
      <alignment horizontal="center" vertical="center"/>
    </xf>
    <xf numFmtId="0" fontId="4" fillId="0" borderId="6" xfId="0" applyFont="1" applyFill="1" applyBorder="1" applyAlignment="1">
      <alignment horizontal="center" vertical="center"/>
    </xf>
    <xf numFmtId="0" fontId="1" fillId="0" borderId="6" xfId="0" applyFont="1" applyBorder="1" applyAlignment="1">
      <alignment horizontal="center" vertical="center"/>
    </xf>
    <xf numFmtId="164" fontId="4" fillId="0" borderId="6" xfId="1" applyFont="1" applyFill="1" applyBorder="1" applyAlignment="1">
      <alignment horizontal="center" vertical="center"/>
    </xf>
    <xf numFmtId="0" fontId="74" fillId="6" borderId="10" xfId="0" applyFont="1" applyFill="1" applyBorder="1" applyAlignment="1">
      <alignment horizontal="left" vertical="center" wrapText="1"/>
    </xf>
    <xf numFmtId="0" fontId="74" fillId="6" borderId="8" xfId="0" applyFont="1" applyFill="1"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1" fillId="0" borderId="1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9">
    <cellStyle name="Comma" xfId="1" builtinId="3"/>
    <cellStyle name="Comma 2" xfId="2"/>
    <cellStyle name="Currency 2" xfId="3"/>
    <cellStyle name="Hyperlink" xfId="4" builtinId="8"/>
    <cellStyle name="Normal" xfId="0" builtinId="0"/>
    <cellStyle name="Normal 10" xfId="5"/>
    <cellStyle name="Normal 2" xfId="6"/>
    <cellStyle name="Normal 4" xfId="7"/>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ARIKA-PC\Data%20Transfer\Users\Sagarika\Desktop\Atharanala\ATHARANALA(ALL)\Atharanala%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ARIKA-PC\Data%20Transfer\Users\Sagarika\Desktop\Atharanala\PH%20Estimate%20of%20Atharana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GARIKA-PC\Data%20Transfer\Users\Sagarika\Desktop\PRIYANKA\GKP%20ESTIMATION%20FINAL(2.9.14)\REVISED%20ESTIMATE\FINAL%20CIVIL%20&amp;%20DISMANTLING.ESTIM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GARIKA-PC\Data%20Transfer\Users\Sagarika\Desktop\PRIYANKA\ATHARANALA%20(29.11.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GARIKA-PC\Data%20Transfer\Users\Sagarika\Desktop\Atharanala\boating%20compl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GARIKA-PC\Share%20Folder\GA%20QTR%20ESTIMATE%20(18.3.16)\fsai(1.03.16)\FSAI%20%20BUILDING%20(25.2.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P.H.%20Estimate%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P.H.%20Estimate%20exter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EKLABYA%20SCHOOL%20ELECTRICAL%20ESTIMATION\ELECTRIC%20ESTIMATION%20_%2025.08.2016\Academic%20Block\Academic%20Block%20Electrical%20Estim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EKLABYA%20SCHOOL%20ELECTRICAL%20ESTIMATION\ELECTRIC%20ESTIMATION%20_%2025.08.2016\Care%20Taker%20Quarter\Care%20Taker%20Electrical%20Estim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EKLABYA%20SCHOOL%20ELECTRICAL%20ESTIMATION\ELECTRIC%20ESTIMATION%20_%2025.08.2016\Hostel%20Block\Boys\Hostel%20Block%20Electrical%20Estim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EKLABYA%20SCHOOL%20ELECTRICAL%20ESTIMATION\ELECTRIC%20ESTIMATION%20_%2025.08.2016\Hostel%20Block\Girls\Hostel%20Block%20Electrical%20Estim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GARIKA-PC\Data%20Transfer\Users\comp4\Desktop\EMRS%20%20KANDHAMAL\EKLABYA%20SCHOOL%20ELECTRICAL%20ESTIMATION\29.08.16\Est-Area%20light%20-Schoo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IYANKA-PC\New%20folder\Users\sagarika\Desktop\9.Fire%20Fighting%20Estim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IYANKA-PC\New%20folder\Users\sagarika\Desktop\CC%20Road%20Estim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fice02\e\Users\sagarika\Desktop\EMRS%20(09.12.16)\P.H.%20ESTIMATE\P.H.%20Estimate%20Exter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ffice02\e\Users\comp4\Desktop\EMRS%20ESTIMATE%20(02.9.16)\EMRS%20(02.9.16)\P.H.%20ESTIMATE\P.H.%20Estimate%20Exter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Revised Analysis"/>
      <sheetName val="ABSTRACT"/>
      <sheetName val="BOUNDARY &amp; GATE"/>
      <sheetName val="RETAINING WALL"/>
      <sheetName val="ANALYSIS-2"/>
      <sheetName val="PATH WAY"/>
      <sheetName val="INDEX"/>
      <sheetName val="Sheet5"/>
    </sheetNames>
    <sheetDataSet>
      <sheetData sheetId="0" refreshError="1"/>
      <sheetData sheetId="1" refreshError="1">
        <row r="347">
          <cell r="E347">
            <v>169</v>
          </cell>
        </row>
      </sheetData>
      <sheetData sheetId="2" refreshError="1"/>
      <sheetData sheetId="3" refreshError="1"/>
      <sheetData sheetId="4" refreshError="1"/>
      <sheetData sheetId="5" refreshError="1"/>
      <sheetData sheetId="6" refreshError="1">
        <row r="147">
          <cell r="E147">
            <v>169</v>
          </cell>
        </row>
        <row r="158">
          <cell r="F158">
            <v>89.355120483199997</v>
          </cell>
        </row>
        <row r="164">
          <cell r="E164">
            <v>5426.3426650000001</v>
          </cell>
        </row>
        <row r="165">
          <cell r="E165">
            <v>89.355120483199997</v>
          </cell>
        </row>
        <row r="193">
          <cell r="F193">
            <v>458.05055592380955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Sheet7"/>
      <sheetName val="PH"/>
      <sheetName val="Borewell"/>
      <sheetName val="Boating Complex(PH)"/>
      <sheetName val="Sheet1"/>
      <sheetName val="Sheet3"/>
      <sheetName val="O.A.T. P.H."/>
      <sheetName val="Sheet9"/>
    </sheetNames>
    <sheetDataSet>
      <sheetData sheetId="0">
        <row r="19">
          <cell r="E19">
            <v>42</v>
          </cell>
          <cell r="F19">
            <v>240.8</v>
          </cell>
        </row>
        <row r="27">
          <cell r="E27">
            <v>700</v>
          </cell>
          <cell r="F27">
            <v>13.4</v>
          </cell>
        </row>
      </sheetData>
      <sheetData sheetId="1">
        <row r="42">
          <cell r="F42">
            <v>43.438079999999999</v>
          </cell>
        </row>
        <row r="75">
          <cell r="F75">
            <v>3426.432272</v>
          </cell>
        </row>
        <row r="115">
          <cell r="F115">
            <v>5047.2679500000004</v>
          </cell>
        </row>
        <row r="211">
          <cell r="F211">
            <v>274.99321891555553</v>
          </cell>
        </row>
        <row r="229">
          <cell r="F229">
            <v>5608.8289600000007</v>
          </cell>
        </row>
        <row r="762">
          <cell r="F762">
            <v>209.49785922999996</v>
          </cell>
        </row>
        <row r="777">
          <cell r="F777">
            <v>7509.0558924888883</v>
          </cell>
        </row>
      </sheetData>
      <sheetData sheetId="2"/>
      <sheetData sheetId="3"/>
      <sheetData sheetId="4"/>
      <sheetData sheetId="5"/>
      <sheetData sheetId="6">
        <row r="26">
          <cell r="F26">
            <v>4226.3</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rough"/>
      <sheetName val="LANDSCAPE"/>
      <sheetName val="bput a"/>
      <sheetName val="Quantity Estimate"/>
      <sheetName val="ANALYSIS"/>
      <sheetName val="INTERIOR ANALYSIS"/>
      <sheetName val="Sheet1"/>
    </sheetNames>
    <sheetDataSet>
      <sheetData sheetId="0" refreshError="1">
        <row r="142">
          <cell r="E142">
            <v>7492.6</v>
          </cell>
        </row>
        <row r="181">
          <cell r="E181">
            <v>3465.1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ILET "/>
      <sheetName val="Sheet2"/>
      <sheetName val="RESTURANT"/>
      <sheetName val="BAR"/>
      <sheetName val="Sheet4"/>
      <sheetName val="ABSTRACT"/>
      <sheetName val="LEAD"/>
      <sheetName val="ANALYSIS"/>
      <sheetName val="SITE DEV."/>
      <sheetName val="Sheet1"/>
      <sheetName val="Sheet3"/>
    </sheetNames>
    <sheetDataSet>
      <sheetData sheetId="0" refreshError="1"/>
      <sheetData sheetId="1" refreshError="1"/>
      <sheetData sheetId="2" refreshError="1"/>
      <sheetData sheetId="3" refreshError="1"/>
      <sheetData sheetId="4" refreshError="1"/>
      <sheetData sheetId="5" refreshError="1">
        <row r="111">
          <cell r="E111">
            <v>3671.9</v>
          </cell>
        </row>
        <row r="119">
          <cell r="E119">
            <v>2995.9</v>
          </cell>
        </row>
      </sheetData>
      <sheetData sheetId="6" refreshError="1"/>
      <sheetData sheetId="7" refreshError="1">
        <row r="1225">
          <cell r="F1225">
            <v>2505.8000000000002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ABSTRACT"/>
      <sheetName val="BOUNDARY &amp; GATE"/>
      <sheetName val="RETAINING WALL"/>
      <sheetName val="ANALYSIS-2"/>
      <sheetName val="PATH WAY"/>
      <sheetName val="INDEX"/>
      <sheetName val="Sheet5"/>
      <sheetName val="COVER PAGE"/>
      <sheetName val="OAT(QTY)"/>
      <sheetName val="OAT(ABSTRACT)"/>
      <sheetName val="ABS(Boating complex)"/>
      <sheetName val="Boating complex"/>
    </sheetNames>
    <sheetDataSet>
      <sheetData sheetId="0"/>
      <sheetData sheetId="1">
        <row r="556">
          <cell r="F556">
            <v>3815.7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P.H. Analysis"/>
      <sheetName val="BOUNDARY &amp; GATE"/>
      <sheetName val="RETAINING WALL"/>
      <sheetName val="ANALYSIS-2"/>
      <sheetName val="PATH WAY"/>
      <sheetName val="INDEX"/>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Borewell"/>
      <sheetName val="ABSTRACT"/>
      <sheetName val="Quantity"/>
      <sheetName val="TRNG LAB QTY."/>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7">
          <cell r="F147">
            <v>14852734.6</v>
          </cell>
        </row>
      </sheetData>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P.H. Analysis"/>
      <sheetName val="BOUNDARY &amp; GATE"/>
      <sheetName val="RETAINING WALL"/>
      <sheetName val="ANALYSIS-2"/>
      <sheetName val="PATH WAY"/>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Academic Block"/>
      <sheetName val="Quantity"/>
      <sheetName val="Sheet5"/>
      <sheetName val="ES"/>
      <sheetName val="Borewell"/>
      <sheetName val="Sheet4"/>
      <sheetName val="Sheet6"/>
      <sheetName val="Sheet7"/>
      <sheetName val="Block-A(IMS)"/>
      <sheetName val="Block-A Ext."/>
      <sheetName val="Block-A (EMS)"/>
      <sheetName val="Hostel Block"/>
      <sheetName val="Block-B(IMS)"/>
      <sheetName val="Block-B Ext."/>
      <sheetName val="Block-B(EMS)"/>
      <sheetName val="Sheet10"/>
      <sheetName val="Sheet8"/>
      <sheetName val="CCA MATRON"/>
      <sheetName val="Sheet11"/>
      <sheetName val="Block-C(IMS)"/>
      <sheetName val="Block-C Ext."/>
      <sheetName val="Block-C(EMS)"/>
      <sheetName val="Pipe"/>
      <sheetName val="Sheet9"/>
      <sheetName val="Block-A-Drain"/>
      <sheetName val="Block-B-Drain"/>
      <sheetName val="Block-C-Drain"/>
      <sheetName val="Drain-Analysis"/>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98">
          <cell r="F98">
            <v>1208799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98">
          <cell r="F98">
            <v>1395602</v>
          </cell>
        </row>
      </sheetData>
      <sheetData sheetId="38" refreshError="1"/>
      <sheetData sheetId="39" refreshError="1"/>
      <sheetData sheetId="40" refreshError="1"/>
      <sheetData sheetId="41" refreshError="1"/>
      <sheetData sheetId="42" refreshError="1"/>
      <sheetData sheetId="43">
        <row r="84">
          <cell r="F84">
            <v>190485</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P.H. Analysis"/>
      <sheetName val="BOUNDARY &amp; GATE"/>
      <sheetName val="RETAINING WALL"/>
      <sheetName val="ANALYSIS-2"/>
      <sheetName val="PATH WAY"/>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Academic Block"/>
      <sheetName val="Quantity"/>
      <sheetName val="Sheet5"/>
      <sheetName val="ES"/>
      <sheetName val="Borewell"/>
      <sheetName val="Sheet4"/>
      <sheetName val="Sheet6"/>
      <sheetName val="Sheet7"/>
      <sheetName val="Block-A(IMS)"/>
      <sheetName val="Academic-Ext."/>
      <sheetName val="Block-A (EMS)"/>
      <sheetName val="Hostel Block"/>
      <sheetName val="Block-B(IMS)"/>
      <sheetName val="Hostel Block-Ext."/>
      <sheetName val="Block-B(EMS)"/>
      <sheetName val="External-Water Supply"/>
      <sheetName val="Sheet8"/>
      <sheetName val="CCA MATRON"/>
      <sheetName val="Sheet11"/>
      <sheetName val="Block-C(IMS)"/>
      <sheetName val="CCA-External"/>
      <sheetName val="Block-C(EMS)"/>
      <sheetName val="Pipe"/>
      <sheetName val="Sheet9"/>
      <sheetName val="Block-A-Drain"/>
      <sheetName val="Block-B-Drain"/>
      <sheetName val="Block-C-Drain"/>
      <sheetName val="Drain-Analysis"/>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5">
          <cell r="F35">
            <v>1253000</v>
          </cell>
        </row>
      </sheetData>
      <sheetData sheetId="36"/>
      <sheetData sheetId="37"/>
      <sheetData sheetId="38"/>
      <sheetData sheetId="39">
        <row r="35">
          <cell r="F35">
            <v>1182650</v>
          </cell>
        </row>
      </sheetData>
      <sheetData sheetId="40"/>
      <sheetData sheetId="41">
        <row r="85">
          <cell r="F85">
            <v>1151500</v>
          </cell>
        </row>
      </sheetData>
      <sheetData sheetId="42"/>
      <sheetData sheetId="43"/>
      <sheetData sheetId="44"/>
      <sheetData sheetId="45"/>
      <sheetData sheetId="46">
        <row r="34">
          <cell r="F34">
            <v>195852.86000000002</v>
          </cell>
        </row>
      </sheetData>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ternal Wiring"/>
      <sheetName val="MV CABLE"/>
      <sheetName val="Panel board"/>
      <sheetName val="Earthing"/>
      <sheetName val="internal fitting"/>
      <sheetName val="External fitting"/>
    </sheetNames>
    <sheetDataSet>
      <sheetData sheetId="0">
        <row r="10">
          <cell r="D10">
            <v>1799633</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ternal Wiring"/>
      <sheetName val="MV CABLE"/>
      <sheetName val="Panel board"/>
      <sheetName val="Earthing"/>
      <sheetName val="internal fitting"/>
      <sheetName val="External fitting"/>
    </sheetNames>
    <sheetDataSet>
      <sheetData sheetId="0">
        <row r="10">
          <cell r="D10">
            <v>472736</v>
          </cell>
        </row>
      </sheetData>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ternal Wiring"/>
      <sheetName val="MV CABLE"/>
      <sheetName val="Panel board"/>
      <sheetName val="Earthing"/>
      <sheetName val="internal fitting"/>
      <sheetName val="External fitting"/>
    </sheetNames>
    <sheetDataSet>
      <sheetData sheetId="0">
        <row r="10">
          <cell r="D10">
            <v>1328124</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ternal Wiring"/>
      <sheetName val="MV CABLE"/>
      <sheetName val="Panel board"/>
      <sheetName val="Earthing"/>
      <sheetName val="internal fitting"/>
      <sheetName val="External fitting"/>
    </sheetNames>
    <sheetDataSet>
      <sheetData sheetId="0">
        <row r="10">
          <cell r="D10">
            <v>1328124</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light"/>
    </sheetNames>
    <sheetDataSet>
      <sheetData sheetId="0">
        <row r="20">
          <cell r="F20">
            <v>219560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PH"/>
      <sheetName val="Sheet1"/>
      <sheetName val="Sheet2"/>
      <sheetName val="Sheet3"/>
      <sheetName val="P.H. Analysis"/>
      <sheetName val="BOUNDARY &amp; GATE"/>
      <sheetName val="RETAINING WALL"/>
      <sheetName val="ANALYSIS-2"/>
      <sheetName val="PATH WAY"/>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Borewell"/>
      <sheetName val="Quantity"/>
      <sheetName val="Sheet5"/>
      <sheetName val="BOREWELL."/>
      <sheetName val="A.C."/>
      <sheetName val="Int.Qnty"/>
      <sheetName val="OAT Qnty"/>
      <sheetName val="OAT Abst."/>
      <sheetName val="Other Items Qnty"/>
      <sheetName val="Other Items Abst."/>
      <sheetName val="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6">
          <cell r="G36">
            <v>1550035.8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oad"/>
      <sheetName val="Input"/>
      <sheetName val="Data"/>
      <sheetName val="Report"/>
      <sheetName val="General Abstract"/>
      <sheetName val="Abstract"/>
      <sheetName val="Traffic-1 "/>
      <sheetName val="Traffic-2"/>
      <sheetName val="MSA"/>
      <sheetName val="CBR"/>
      <sheetName val="Crust"/>
      <sheetName val="Con.Schedule"/>
      <sheetName val="Abst R.A"/>
      <sheetName val="R.Abstract"/>
      <sheetName val="TCS"/>
      <sheetName val="Estimate"/>
      <sheetName val="Qnty"/>
      <sheetName val="Est. of Drain"/>
      <sheetName val="ANALYSIS"/>
      <sheetName val="R.Estimate"/>
      <sheetName val="Earthwork"/>
      <sheetName val="Str List"/>
      <sheetName val="Abst S.A"/>
      <sheetName val="S.Abstract"/>
      <sheetName val="1x6.0 x 6.0"/>
      <sheetName val="ROAD-A "/>
      <sheetName val="ROAD-B, C ,D, E"/>
      <sheetName val="ROAD-F"/>
      <sheetName val="1x2.0 x 2.0"/>
      <sheetName val="1x3.0 x 3.0"/>
      <sheetName val="1X1 HP-"/>
      <sheetName val="1x3.0 x 3.0 (F)"/>
      <sheetName val="2X1 HP "/>
      <sheetName val="1X1 HP"/>
      <sheetName val="5X1.2 HP"/>
      <sheetName val="Toe Wall Provision"/>
      <sheetName val=" Toe wall DWG"/>
      <sheetName val="Est. of Toe Wall"/>
      <sheetName val="Drain Provision"/>
      <sheetName val="1x1.5X1.5"/>
      <sheetName val="Utility"/>
      <sheetName val="Land"/>
      <sheetName val="Est. of Drain 1"/>
      <sheetName val="Lead Statement"/>
      <sheetName val="Lead Statement-5KM"/>
      <sheetName val="Labour"/>
      <sheetName val="P&amp;M"/>
      <sheetName val=" R.Analysis"/>
      <sheetName val="S.Analysis"/>
      <sheetName val="Bar chart"/>
      <sheetName val="Separator"/>
      <sheetName val="Str. List (2)"/>
      <sheetName val="Sheet1"/>
      <sheetName val="A-All"/>
      <sheetName val="pond"/>
      <sheetName val="Recharge  PIT"/>
      <sheetName val="Sheet5"/>
      <sheetName val="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6">
          <cell r="F36">
            <v>6708382.5248749992</v>
          </cell>
        </row>
      </sheetData>
      <sheetData sheetId="16"/>
      <sheetData sheetId="17">
        <row r="33">
          <cell r="K33">
            <v>3739594.3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Academic-Ext."/>
      <sheetName val="PH"/>
      <sheetName val="Sheet1"/>
      <sheetName val="Sheet2"/>
      <sheetName val="Sheet3"/>
      <sheetName val="P.H. Analysis"/>
      <sheetName val="BOUNDARY &amp; GATE"/>
      <sheetName val="RETAINING WALL"/>
      <sheetName val="ANALYSIS-2"/>
      <sheetName val="PATH WAY"/>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Academic Block"/>
      <sheetName val="Quantity"/>
      <sheetName val="Sheet5"/>
      <sheetName val="ES"/>
      <sheetName val="Borewell"/>
      <sheetName val="Sheet4"/>
      <sheetName val="Sheet6"/>
      <sheetName val="Sheet7"/>
      <sheetName val="Block-A(IMS)"/>
      <sheetName val="Hostel Block-Ext."/>
      <sheetName val="Block-A (EMS)"/>
      <sheetName val="Hostel Block"/>
      <sheetName val="Block-B(IMS)"/>
      <sheetName val="CCA-External"/>
      <sheetName val="Block-B(EMS)"/>
      <sheetName val="External-Water Supply"/>
      <sheetName val="Sheet8"/>
      <sheetName val="CCA MATRON"/>
      <sheetName val="Sheet11"/>
      <sheetName val="Block-C(IMS)"/>
      <sheetName val="Block-C(EMS)"/>
      <sheetName val="Pipe"/>
      <sheetName val="Sheet9"/>
      <sheetName val="Block-A-Drain"/>
      <sheetName val="Block-B-Drain"/>
      <sheetName val="Block-C-Drain"/>
      <sheetName val="Drain-Analysis"/>
      <sheetName val="Sheet12"/>
    </sheetNames>
    <sheetDataSet>
      <sheetData sheetId="0" refreshError="1"/>
      <sheetData sheetId="1" refreshError="1"/>
      <sheetData sheetId="2" refreshError="1">
        <row r="9">
          <cell r="C9">
            <v>35</v>
          </cell>
        </row>
        <row r="11">
          <cell r="C11">
            <v>24</v>
          </cell>
        </row>
        <row r="13">
          <cell r="C13">
            <v>12</v>
          </cell>
        </row>
        <row r="15">
          <cell r="C15">
            <v>42.8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9">
          <cell r="C9">
            <v>32</v>
          </cell>
        </row>
        <row r="11">
          <cell r="C11">
            <v>21</v>
          </cell>
        </row>
        <row r="13">
          <cell r="C13">
            <v>12</v>
          </cell>
        </row>
        <row r="15">
          <cell r="C15">
            <v>40.1</v>
          </cell>
        </row>
      </sheetData>
      <sheetData sheetId="37" refreshError="1"/>
      <sheetData sheetId="38" refreshError="1"/>
      <sheetData sheetId="39" refreshError="1"/>
      <sheetData sheetId="40" refreshError="1">
        <row r="9">
          <cell r="C9">
            <v>6</v>
          </cell>
        </row>
        <row r="11">
          <cell r="C11">
            <v>4</v>
          </cell>
        </row>
        <row r="13">
          <cell r="C13">
            <v>2</v>
          </cell>
        </row>
        <row r="15">
          <cell r="C15">
            <v>8</v>
          </cell>
        </row>
      </sheetData>
      <sheetData sheetId="41" refreshError="1"/>
      <sheetData sheetId="42" refreshError="1">
        <row r="41">
          <cell r="C41">
            <v>93</v>
          </cell>
        </row>
        <row r="43">
          <cell r="C43">
            <v>62</v>
          </cell>
        </row>
        <row r="45">
          <cell r="C45">
            <v>38</v>
          </cell>
        </row>
        <row r="47">
          <cell r="C47">
            <v>222</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alysis"/>
      <sheetName val="Academic-Ext."/>
      <sheetName val="PH"/>
      <sheetName val="Sheet1"/>
      <sheetName val="Sheet2"/>
      <sheetName val="Sheet3"/>
      <sheetName val="P.H. Analysis"/>
      <sheetName val="BOUNDARY &amp; GATE"/>
      <sheetName val="RETAINING WALL"/>
      <sheetName val="ANALYSIS-2"/>
      <sheetName val="PATH WAY"/>
      <sheetName val="Sanctioned Amount"/>
      <sheetName val="COVER PAGE"/>
      <sheetName val="OAT(QTY)"/>
      <sheetName val="OAT(ABSTRACT)"/>
      <sheetName val="View point (Qty)"/>
      <sheetName val="View point (Abstract)"/>
      <sheetName val="Landscaping"/>
      <sheetName val="Irrigation"/>
      <sheetName val="Land-Civil Str (Qty)"/>
      <sheetName val="Land-Civil Str (Abstract)"/>
      <sheetName val="Beautification of water"/>
      <sheetName val="Boating comp (P.H.)"/>
      <sheetName val="O.A.T. (P.H.)"/>
      <sheetName val="Boating Comp (Civil)"/>
      <sheetName val="Boating complex(Qnty)"/>
      <sheetName val="Academic Block"/>
      <sheetName val="Quantity"/>
      <sheetName val="Sheet5"/>
      <sheetName val="ES"/>
      <sheetName val="Borewell"/>
      <sheetName val="Sheet4"/>
      <sheetName val="Sheet6"/>
      <sheetName val="Sheet7"/>
      <sheetName val="Block-A(IMS)"/>
      <sheetName val="Hostel Block-Ext."/>
      <sheetName val="Block-A (EMS)"/>
      <sheetName val="Hostel Block"/>
      <sheetName val="Block-B(IMS)"/>
      <sheetName val="CCA-External"/>
      <sheetName val="Block-B(EMS)"/>
      <sheetName val="External-Water Supply"/>
      <sheetName val="Sheet8"/>
      <sheetName val="CCA MATRON"/>
      <sheetName val="Sheet11"/>
      <sheetName val="Block-C(IMS)"/>
      <sheetName val="Block-C(EMS)"/>
      <sheetName val="Pipe"/>
      <sheetName val="Sheet9"/>
      <sheetName val="Block-A-Drain"/>
      <sheetName val="Block-B-Drain"/>
      <sheetName val="Block-C-Drain"/>
      <sheetName val="Drain-Analysis"/>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3">
          <cell r="E13">
            <v>868.8</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AT@5%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view="pageBreakPreview" topLeftCell="A3" zoomScale="95" zoomScaleSheetLayoutView="95" workbookViewId="0">
      <selection activeCell="F8" sqref="F8:F9"/>
    </sheetView>
  </sheetViews>
  <sheetFormatPr defaultRowHeight="12.75"/>
  <cols>
    <col min="1" max="1" width="7.140625" style="164" customWidth="1"/>
    <col min="2" max="2" width="25.42578125" style="164" customWidth="1"/>
    <col min="3" max="3" width="15.140625" style="164" customWidth="1"/>
    <col min="4" max="4" width="10.140625" style="164" customWidth="1"/>
    <col min="5" max="5" width="11.85546875" style="164" customWidth="1"/>
    <col min="6" max="6" width="10.5703125" style="164" customWidth="1"/>
    <col min="7" max="7" width="7.85546875" style="164" customWidth="1"/>
    <col min="8" max="8" width="15.5703125" style="164" customWidth="1"/>
    <col min="9" max="9" width="8.28515625" style="164" customWidth="1"/>
    <col min="10" max="10" width="10.5703125" style="165" customWidth="1"/>
    <col min="11" max="11" width="15.85546875" style="166" customWidth="1"/>
    <col min="12" max="13" width="9.140625" style="164"/>
    <col min="14" max="14" width="5.140625" style="164" customWidth="1"/>
    <col min="15" max="15" width="16.5703125" style="164" customWidth="1"/>
    <col min="16" max="16" width="15.140625" style="164" customWidth="1"/>
    <col min="17" max="17" width="10.140625" style="164" customWidth="1"/>
    <col min="18" max="18" width="11.85546875" style="164" customWidth="1"/>
    <col min="19" max="19" width="10.5703125" style="164" customWidth="1"/>
    <col min="20" max="20" width="7.85546875" style="164" customWidth="1"/>
    <col min="21" max="21" width="11.42578125" style="164" customWidth="1"/>
    <col min="22" max="22" width="8.28515625" style="164" customWidth="1"/>
    <col min="23" max="23" width="10.5703125" style="164" customWidth="1"/>
    <col min="24" max="24" width="5.42578125" style="164" customWidth="1"/>
    <col min="25" max="16384" width="9.140625" style="164"/>
  </cols>
  <sheetData>
    <row r="1" spans="1:17" ht="28.5" customHeight="1">
      <c r="A1" s="1219" t="s">
        <v>1426</v>
      </c>
      <c r="B1" s="1219"/>
      <c r="C1" s="1219"/>
      <c r="D1" s="1219"/>
      <c r="E1" s="1219"/>
      <c r="F1" s="1219"/>
      <c r="G1" s="1219"/>
      <c r="H1" s="1219"/>
      <c r="I1" s="1219"/>
      <c r="J1" s="1219"/>
      <c r="K1" s="1219"/>
    </row>
    <row r="2" spans="1:17">
      <c r="D2" s="165"/>
      <c r="E2" s="165"/>
      <c r="F2" s="165"/>
      <c r="G2" s="165"/>
      <c r="H2" s="165"/>
      <c r="I2" s="165"/>
    </row>
    <row r="3" spans="1:17" s="165" customFormat="1" ht="25.5">
      <c r="B3" s="167" t="s">
        <v>89</v>
      </c>
      <c r="C3" s="167" t="s">
        <v>90</v>
      </c>
      <c r="D3" s="768" t="s">
        <v>91</v>
      </c>
      <c r="E3" s="167" t="s">
        <v>92</v>
      </c>
      <c r="F3" s="167" t="s">
        <v>93</v>
      </c>
      <c r="G3" s="167" t="s">
        <v>94</v>
      </c>
      <c r="H3" s="167" t="s">
        <v>95</v>
      </c>
      <c r="I3" s="167" t="s">
        <v>96</v>
      </c>
      <c r="J3" s="167" t="s">
        <v>97</v>
      </c>
      <c r="K3" s="168"/>
    </row>
    <row r="4" spans="1:17">
      <c r="D4" s="755"/>
      <c r="E4" s="165"/>
      <c r="F4" s="165"/>
      <c r="G4" s="165"/>
      <c r="H4" s="165"/>
      <c r="I4" s="165"/>
    </row>
    <row r="5" spans="1:17">
      <c r="B5" s="171" t="s">
        <v>98</v>
      </c>
      <c r="C5" s="1221"/>
      <c r="D5" s="1231">
        <v>9</v>
      </c>
      <c r="E5" s="1220">
        <v>780</v>
      </c>
      <c r="F5" s="1220">
        <f>156.4+(D5-5)*9.2</f>
        <v>193.2</v>
      </c>
      <c r="G5" s="1227">
        <v>142</v>
      </c>
      <c r="H5" s="1227">
        <f>E5+J5</f>
        <v>1115.2</v>
      </c>
      <c r="I5" s="1220" t="s">
        <v>99</v>
      </c>
      <c r="J5" s="1227">
        <f>F5+G5</f>
        <v>335.2</v>
      </c>
      <c r="K5" s="1225" t="s">
        <v>100</v>
      </c>
      <c r="L5" s="432"/>
      <c r="M5" s="165"/>
      <c r="N5" s="243"/>
      <c r="O5" s="760"/>
      <c r="P5" s="243"/>
      <c r="Q5" s="761"/>
    </row>
    <row r="6" spans="1:17">
      <c r="B6" s="171" t="s">
        <v>373</v>
      </c>
      <c r="C6" s="1222"/>
      <c r="D6" s="1231"/>
      <c r="E6" s="1220"/>
      <c r="F6" s="1220"/>
      <c r="G6" s="1227"/>
      <c r="H6" s="1220"/>
      <c r="I6" s="1220"/>
      <c r="J6" s="1227"/>
      <c r="K6" s="1225"/>
      <c r="M6" s="165">
        <f>O6+(O6*40%)</f>
        <v>28</v>
      </c>
      <c r="N6" s="243"/>
      <c r="O6" s="760">
        <v>20</v>
      </c>
      <c r="P6" s="243"/>
      <c r="Q6" s="761"/>
    </row>
    <row r="7" spans="1:17" ht="18" customHeight="1">
      <c r="C7" s="172"/>
      <c r="D7" s="755"/>
      <c r="E7" s="165"/>
      <c r="F7" s="165"/>
      <c r="G7" s="165"/>
      <c r="H7" s="165"/>
      <c r="I7" s="165"/>
      <c r="M7" s="165"/>
      <c r="N7" s="243"/>
      <c r="O7" s="172"/>
      <c r="P7" s="762"/>
      <c r="Q7" s="761"/>
    </row>
    <row r="8" spans="1:17" ht="15.75" customHeight="1">
      <c r="B8" s="171" t="s">
        <v>98</v>
      </c>
      <c r="C8" s="1221"/>
      <c r="D8" s="1226">
        <v>65</v>
      </c>
      <c r="E8" s="1220">
        <v>1139</v>
      </c>
      <c r="F8" s="1220">
        <f>156.4+(D8-5)*9.2</f>
        <v>708.4</v>
      </c>
      <c r="G8" s="1227">
        <v>142</v>
      </c>
      <c r="H8" s="1220">
        <f>E8+J8</f>
        <v>1989.4</v>
      </c>
      <c r="I8" s="1220" t="s">
        <v>99</v>
      </c>
      <c r="J8" s="1224">
        <f>F8+G8</f>
        <v>850.4</v>
      </c>
      <c r="K8" s="1225" t="s">
        <v>100</v>
      </c>
      <c r="L8" s="432"/>
      <c r="M8" s="165"/>
      <c r="N8" s="243"/>
      <c r="O8" s="763"/>
      <c r="P8" s="762"/>
      <c r="Q8" s="761"/>
    </row>
    <row r="9" spans="1:17">
      <c r="B9" s="164" t="s">
        <v>101</v>
      </c>
      <c r="C9" s="1222"/>
      <c r="D9" s="1226"/>
      <c r="E9" s="1220"/>
      <c r="F9" s="1220"/>
      <c r="G9" s="1227"/>
      <c r="H9" s="1220"/>
      <c r="I9" s="1220"/>
      <c r="J9" s="1224"/>
      <c r="K9" s="1225"/>
      <c r="M9" s="165"/>
      <c r="N9" s="243"/>
      <c r="O9" s="760"/>
      <c r="P9" s="243"/>
      <c r="Q9" s="761"/>
    </row>
    <row r="10" spans="1:17">
      <c r="C10" s="172"/>
      <c r="D10" s="755"/>
      <c r="E10" s="165"/>
      <c r="F10" s="165"/>
      <c r="G10" s="165"/>
      <c r="H10" s="165"/>
      <c r="I10" s="165"/>
      <c r="M10" s="165"/>
      <c r="N10" s="243"/>
      <c r="O10" s="760"/>
      <c r="P10" s="243"/>
      <c r="Q10" s="761"/>
    </row>
    <row r="11" spans="1:17">
      <c r="B11" s="171" t="s">
        <v>102</v>
      </c>
      <c r="C11" s="1221"/>
      <c r="D11" s="1226">
        <v>65</v>
      </c>
      <c r="E11" s="1220">
        <v>1168</v>
      </c>
      <c r="F11" s="1220">
        <f>156.4+(D11-5)*9.2</f>
        <v>708.4</v>
      </c>
      <c r="G11" s="1227">
        <v>142</v>
      </c>
      <c r="H11" s="1220">
        <f>E11+J11</f>
        <v>2018.4</v>
      </c>
      <c r="I11" s="1220" t="s">
        <v>99</v>
      </c>
      <c r="J11" s="1224">
        <f>F11+G11</f>
        <v>850.4</v>
      </c>
      <c r="K11" s="1225" t="s">
        <v>100</v>
      </c>
      <c r="L11" s="432"/>
      <c r="M11" s="165"/>
      <c r="N11" s="243"/>
      <c r="O11" s="764"/>
      <c r="P11" s="157"/>
      <c r="Q11" s="761"/>
    </row>
    <row r="12" spans="1:17">
      <c r="B12" s="164" t="s">
        <v>103</v>
      </c>
      <c r="C12" s="1222"/>
      <c r="D12" s="1226"/>
      <c r="E12" s="1220"/>
      <c r="F12" s="1220"/>
      <c r="G12" s="1227"/>
      <c r="H12" s="1220"/>
      <c r="I12" s="1220"/>
      <c r="J12" s="1224"/>
      <c r="K12" s="1225"/>
      <c r="M12" s="165"/>
      <c r="N12" s="243"/>
      <c r="O12" s="764"/>
      <c r="P12" s="363"/>
      <c r="Q12" s="761"/>
    </row>
    <row r="13" spans="1:17">
      <c r="C13" s="172"/>
      <c r="D13" s="1114"/>
      <c r="E13" s="165"/>
      <c r="F13" s="165"/>
      <c r="G13" s="165"/>
      <c r="H13" s="165"/>
      <c r="I13" s="165"/>
      <c r="J13" s="177"/>
      <c r="M13" s="165"/>
      <c r="N13" s="243"/>
      <c r="O13" s="763"/>
      <c r="P13" s="762"/>
      <c r="Q13" s="761"/>
    </row>
    <row r="14" spans="1:17">
      <c r="B14" s="171" t="s">
        <v>102</v>
      </c>
      <c r="C14" s="1221"/>
      <c r="D14" s="1226">
        <v>65</v>
      </c>
      <c r="E14" s="1220">
        <v>1215</v>
      </c>
      <c r="F14" s="1220">
        <f>156.4+(D14-5)*9.2</f>
        <v>708.4</v>
      </c>
      <c r="G14" s="1227">
        <v>142</v>
      </c>
      <c r="H14" s="1220">
        <f>E14+J14</f>
        <v>2065.4</v>
      </c>
      <c r="I14" s="1220" t="s">
        <v>99</v>
      </c>
      <c r="J14" s="1224">
        <f>F14+G14</f>
        <v>850.4</v>
      </c>
      <c r="K14" s="1225" t="s">
        <v>100</v>
      </c>
      <c r="L14" s="432"/>
      <c r="M14" s="165"/>
      <c r="N14" s="243"/>
      <c r="O14" s="760"/>
      <c r="P14" s="243"/>
      <c r="Q14" s="761"/>
    </row>
    <row r="15" spans="1:17">
      <c r="B15" s="164" t="s">
        <v>171</v>
      </c>
      <c r="C15" s="1222"/>
      <c r="D15" s="1226"/>
      <c r="E15" s="1220"/>
      <c r="F15" s="1220"/>
      <c r="G15" s="1227"/>
      <c r="H15" s="1220"/>
      <c r="I15" s="1220"/>
      <c r="J15" s="1224"/>
      <c r="K15" s="1225"/>
      <c r="M15" s="165"/>
      <c r="N15" s="243"/>
      <c r="O15" s="760"/>
      <c r="P15" s="243"/>
      <c r="Q15" s="761"/>
    </row>
    <row r="16" spans="1:17">
      <c r="C16" s="172"/>
      <c r="D16" s="1114"/>
      <c r="E16" s="165"/>
      <c r="F16" s="165"/>
      <c r="G16" s="165"/>
      <c r="H16" s="165"/>
      <c r="I16" s="165"/>
      <c r="J16" s="177"/>
      <c r="M16" s="165"/>
    </row>
    <row r="17" spans="2:13">
      <c r="B17" s="171" t="s">
        <v>102</v>
      </c>
      <c r="C17" s="1221"/>
      <c r="D17" s="1226">
        <v>65</v>
      </c>
      <c r="E17" s="1220">
        <v>754</v>
      </c>
      <c r="F17" s="1220">
        <f>156.4+(D17-5)*9.2</f>
        <v>708.4</v>
      </c>
      <c r="G17" s="1227">
        <v>142</v>
      </c>
      <c r="H17" s="1220">
        <f>E17+J17</f>
        <v>1604.4</v>
      </c>
      <c r="I17" s="1220" t="s">
        <v>99</v>
      </c>
      <c r="J17" s="1224">
        <f>F17+G17</f>
        <v>850.4</v>
      </c>
      <c r="K17" s="1225" t="s">
        <v>100</v>
      </c>
      <c r="M17" s="165"/>
    </row>
    <row r="18" spans="2:13">
      <c r="B18" s="171" t="s">
        <v>36</v>
      </c>
      <c r="C18" s="1222"/>
      <c r="D18" s="1226"/>
      <c r="E18" s="1220"/>
      <c r="F18" s="1220"/>
      <c r="G18" s="1227"/>
      <c r="H18" s="1220"/>
      <c r="I18" s="1220"/>
      <c r="J18" s="1224"/>
      <c r="K18" s="1225"/>
      <c r="M18" s="165"/>
    </row>
    <row r="19" spans="2:13">
      <c r="C19" s="251"/>
      <c r="D19" s="769"/>
      <c r="E19" s="113"/>
      <c r="F19" s="113"/>
      <c r="G19" s="252"/>
      <c r="H19" s="113"/>
      <c r="I19" s="113"/>
      <c r="J19" s="252"/>
      <c r="K19" s="113"/>
      <c r="M19" s="165"/>
    </row>
    <row r="20" spans="2:13">
      <c r="B20" s="171" t="s">
        <v>104</v>
      </c>
      <c r="C20" s="1221"/>
      <c r="D20" s="1231">
        <v>5</v>
      </c>
      <c r="E20" s="1220">
        <v>55</v>
      </c>
      <c r="F20" s="1220">
        <f>156.4+(D20-5)*9.2</f>
        <v>156.4</v>
      </c>
      <c r="G20" s="1227">
        <v>40</v>
      </c>
      <c r="H20" s="1220">
        <f>E20+J20</f>
        <v>251.4</v>
      </c>
      <c r="I20" s="1220" t="s">
        <v>99</v>
      </c>
      <c r="J20" s="1227">
        <f>F20+G20</f>
        <v>196.4</v>
      </c>
      <c r="K20" s="166" t="s">
        <v>100</v>
      </c>
      <c r="L20" s="432"/>
      <c r="M20" s="173"/>
    </row>
    <row r="21" spans="2:13">
      <c r="C21" s="1222"/>
      <c r="D21" s="1231"/>
      <c r="E21" s="1220"/>
      <c r="F21" s="1220"/>
      <c r="G21" s="1227"/>
      <c r="H21" s="1220"/>
      <c r="I21" s="1220"/>
      <c r="J21" s="1227"/>
      <c r="M21" s="173"/>
    </row>
    <row r="22" spans="2:13">
      <c r="B22" s="171" t="s">
        <v>105</v>
      </c>
      <c r="C22" s="1221"/>
      <c r="D22" s="1231">
        <v>5</v>
      </c>
      <c r="E22" s="1220">
        <v>48</v>
      </c>
      <c r="F22" s="1220">
        <f>156.4+(D22-5)*9.2</f>
        <v>156.4</v>
      </c>
      <c r="G22" s="1227">
        <v>40</v>
      </c>
      <c r="H22" s="1220">
        <f>E22+J22</f>
        <v>244.4</v>
      </c>
      <c r="I22" s="1220" t="s">
        <v>99</v>
      </c>
      <c r="J22" s="1227">
        <f>F22+G22</f>
        <v>196.4</v>
      </c>
      <c r="K22" s="166" t="s">
        <v>100</v>
      </c>
      <c r="L22" s="432"/>
      <c r="M22" s="173"/>
    </row>
    <row r="23" spans="2:13">
      <c r="C23" s="1222"/>
      <c r="D23" s="1231"/>
      <c r="E23" s="1220"/>
      <c r="F23" s="1220"/>
      <c r="G23" s="1227"/>
      <c r="H23" s="1220"/>
      <c r="I23" s="1220"/>
      <c r="J23" s="1227"/>
      <c r="M23" s="165"/>
    </row>
    <row r="24" spans="2:13">
      <c r="B24" s="171" t="s">
        <v>1275</v>
      </c>
      <c r="C24" s="100"/>
      <c r="D24" s="755">
        <v>65</v>
      </c>
      <c r="E24" s="165">
        <v>4750</v>
      </c>
      <c r="F24" s="113">
        <f>1010.8/2+(D24-5)*41.4/2</f>
        <v>1747.4</v>
      </c>
      <c r="G24" s="165"/>
      <c r="H24" s="165">
        <f>(E24+F24)/1000</f>
        <v>6.4973999999999998</v>
      </c>
      <c r="I24" s="165" t="s">
        <v>106</v>
      </c>
      <c r="J24" s="165">
        <f>F24+G24</f>
        <v>1747.4</v>
      </c>
      <c r="K24" s="166" t="s">
        <v>107</v>
      </c>
      <c r="L24" s="432"/>
      <c r="M24" s="165"/>
    </row>
    <row r="25" spans="2:13">
      <c r="B25" s="171"/>
      <c r="C25" s="100"/>
      <c r="D25" s="755"/>
      <c r="E25" s="165"/>
      <c r="F25" s="113"/>
      <c r="G25" s="165"/>
      <c r="H25" s="165"/>
      <c r="I25" s="165"/>
      <c r="M25" s="165"/>
    </row>
    <row r="26" spans="2:13">
      <c r="B26" s="171" t="s">
        <v>1276</v>
      </c>
      <c r="C26" s="100"/>
      <c r="D26" s="755">
        <v>65</v>
      </c>
      <c r="E26" s="165">
        <v>4300</v>
      </c>
      <c r="F26" s="113">
        <f>1010.8/2.5+(D26-5)*41.4/2.5</f>
        <v>1397.92</v>
      </c>
      <c r="G26" s="165"/>
      <c r="H26" s="165">
        <f>(E26+F26)/1000</f>
        <v>5.6979199999999999</v>
      </c>
      <c r="I26" s="165" t="s">
        <v>106</v>
      </c>
      <c r="J26" s="165">
        <f>F26+G26</f>
        <v>1397.92</v>
      </c>
      <c r="K26" s="166" t="s">
        <v>107</v>
      </c>
      <c r="L26" s="432"/>
      <c r="M26" s="165"/>
    </row>
    <row r="27" spans="2:13">
      <c r="B27" s="171"/>
      <c r="C27" s="100"/>
      <c r="D27" s="755"/>
      <c r="E27" s="165"/>
      <c r="F27" s="113"/>
      <c r="G27" s="165"/>
      <c r="H27" s="165"/>
      <c r="I27" s="165"/>
      <c r="L27" s="432"/>
      <c r="M27" s="165"/>
    </row>
    <row r="28" spans="2:13">
      <c r="B28" s="171"/>
      <c r="C28" s="100"/>
      <c r="D28" s="755"/>
      <c r="E28" s="165"/>
      <c r="F28" s="165"/>
      <c r="G28" s="165"/>
      <c r="H28" s="165"/>
      <c r="I28" s="165"/>
      <c r="L28" s="432"/>
      <c r="M28" s="165"/>
    </row>
    <row r="29" spans="2:13">
      <c r="B29" s="164" t="s">
        <v>178</v>
      </c>
      <c r="C29" s="174"/>
      <c r="D29" s="755">
        <v>5</v>
      </c>
      <c r="E29" s="16">
        <v>650</v>
      </c>
      <c r="F29" s="113">
        <f>169/10+(D29-5)*8.6/10</f>
        <v>16.899999999999999</v>
      </c>
      <c r="G29" s="165"/>
      <c r="H29" s="165">
        <f>E29+J29</f>
        <v>666.9</v>
      </c>
      <c r="I29" s="165" t="s">
        <v>108</v>
      </c>
      <c r="J29" s="165">
        <f>F29</f>
        <v>16.899999999999999</v>
      </c>
      <c r="K29" s="166" t="s">
        <v>109</v>
      </c>
      <c r="L29" s="432"/>
      <c r="M29" s="165"/>
    </row>
    <row r="30" spans="2:13">
      <c r="C30" s="165"/>
      <c r="D30" s="755"/>
      <c r="E30" s="165"/>
      <c r="F30" s="113"/>
      <c r="G30" s="165"/>
      <c r="H30" s="165"/>
      <c r="I30" s="165"/>
      <c r="M30" s="165"/>
    </row>
    <row r="31" spans="2:13">
      <c r="B31" s="164" t="s">
        <v>110</v>
      </c>
      <c r="C31" s="174"/>
      <c r="D31" s="755">
        <v>5</v>
      </c>
      <c r="E31" s="16">
        <v>4200</v>
      </c>
      <c r="F31" s="113">
        <f>169/10+(D31-5)*8.6/10</f>
        <v>16.899999999999999</v>
      </c>
      <c r="G31" s="165"/>
      <c r="H31" s="165">
        <f>J31+E31</f>
        <v>4216.8999999999996</v>
      </c>
      <c r="I31" s="165" t="s">
        <v>108</v>
      </c>
      <c r="J31" s="165">
        <f>F31</f>
        <v>16.899999999999999</v>
      </c>
      <c r="K31" s="433" t="s">
        <v>109</v>
      </c>
      <c r="L31" s="432"/>
      <c r="M31" s="173"/>
    </row>
    <row r="32" spans="2:13">
      <c r="C32" s="165"/>
      <c r="D32" s="755"/>
      <c r="E32" s="165"/>
      <c r="F32" s="113"/>
      <c r="G32" s="165"/>
      <c r="H32" s="165"/>
      <c r="I32" s="165"/>
      <c r="M32" s="165"/>
    </row>
    <row r="33" spans="1:13" hidden="1">
      <c r="B33" s="164" t="s">
        <v>270</v>
      </c>
      <c r="C33" s="100"/>
      <c r="D33" s="755">
        <v>10</v>
      </c>
      <c r="E33" s="165">
        <v>572</v>
      </c>
      <c r="F33" s="113">
        <f>156.4+(D33-5)*9.2</f>
        <v>202.4</v>
      </c>
      <c r="G33" s="173">
        <v>137.19999999999999</v>
      </c>
      <c r="H33" s="175">
        <f>J33+E33</f>
        <v>911.6</v>
      </c>
      <c r="I33" s="165" t="s">
        <v>99</v>
      </c>
      <c r="J33" s="175">
        <f>F33+G33</f>
        <v>339.6</v>
      </c>
      <c r="K33" s="166" t="s">
        <v>100</v>
      </c>
      <c r="L33" s="432"/>
      <c r="M33" s="173"/>
    </row>
    <row r="34" spans="1:13" hidden="1">
      <c r="C34" s="165"/>
      <c r="D34" s="755"/>
      <c r="E34" s="165"/>
      <c r="F34" s="113"/>
      <c r="G34" s="165"/>
      <c r="H34" s="165"/>
      <c r="I34" s="165"/>
      <c r="M34" s="165"/>
    </row>
    <row r="35" spans="1:13" hidden="1">
      <c r="B35" s="164" t="s">
        <v>315</v>
      </c>
      <c r="C35" s="168"/>
      <c r="D35" s="755">
        <v>10</v>
      </c>
      <c r="E35" s="165">
        <v>77</v>
      </c>
      <c r="F35" s="113">
        <f>156.4+(D35-5)*9.2</f>
        <v>202.4</v>
      </c>
      <c r="G35" s="173">
        <f>19.6+(19.6*40%)</f>
        <v>27.44</v>
      </c>
      <c r="H35" s="165">
        <f>E35+J35</f>
        <v>306.84000000000003</v>
      </c>
      <c r="I35" s="165" t="s">
        <v>99</v>
      </c>
      <c r="J35" s="165">
        <f>F35+G35</f>
        <v>229.84</v>
      </c>
      <c r="K35" s="166" t="s">
        <v>100</v>
      </c>
      <c r="L35" s="432"/>
      <c r="M35" s="173"/>
    </row>
    <row r="36" spans="1:13" hidden="1">
      <c r="C36" s="165"/>
      <c r="D36" s="755"/>
      <c r="E36" s="165"/>
      <c r="F36" s="113"/>
      <c r="G36" s="165"/>
      <c r="H36" s="165"/>
      <c r="I36" s="165"/>
      <c r="J36" s="176"/>
      <c r="K36" s="165"/>
    </row>
    <row r="37" spans="1:13" hidden="1">
      <c r="B37" s="164" t="s">
        <v>316</v>
      </c>
      <c r="C37" s="100"/>
      <c r="D37" s="755">
        <v>10</v>
      </c>
      <c r="E37" s="165">
        <v>50</v>
      </c>
      <c r="F37" s="113">
        <f>156.4+(D37-5)*9.2</f>
        <v>202.4</v>
      </c>
      <c r="G37" s="173">
        <f>19.6+(19.6*40%)</f>
        <v>27.44</v>
      </c>
      <c r="H37" s="175">
        <f>J37+E37</f>
        <v>279.84000000000003</v>
      </c>
      <c r="I37" s="165" t="s">
        <v>99</v>
      </c>
      <c r="J37" s="175">
        <f>F37+G37</f>
        <v>229.84</v>
      </c>
      <c r="K37" s="166" t="s">
        <v>100</v>
      </c>
    </row>
    <row r="38" spans="1:13" hidden="1">
      <c r="C38" s="165"/>
      <c r="D38" s="755"/>
      <c r="E38" s="165"/>
      <c r="F38" s="113"/>
      <c r="G38" s="165"/>
      <c r="H38" s="165"/>
      <c r="I38" s="165"/>
      <c r="J38" s="176"/>
      <c r="K38" s="165"/>
    </row>
    <row r="39" spans="1:13" hidden="1">
      <c r="B39" s="164" t="s">
        <v>341</v>
      </c>
      <c r="C39" s="165"/>
      <c r="D39" s="755">
        <v>10</v>
      </c>
      <c r="E39" s="165">
        <v>18031.8</v>
      </c>
      <c r="F39" s="113">
        <f>156.4+(D39-5)*9.2</f>
        <v>202.4</v>
      </c>
      <c r="G39" s="173">
        <v>2120.14</v>
      </c>
      <c r="H39" s="175">
        <f>J39+E39</f>
        <v>20354.34</v>
      </c>
      <c r="I39" s="165" t="s">
        <v>99</v>
      </c>
      <c r="J39" s="175">
        <f>F39+G39</f>
        <v>2322.54</v>
      </c>
      <c r="K39" s="166" t="s">
        <v>100</v>
      </c>
    </row>
    <row r="40" spans="1:13" hidden="1">
      <c r="D40" s="755"/>
      <c r="E40" s="165"/>
      <c r="F40" s="113"/>
      <c r="G40" s="165"/>
      <c r="H40" s="165"/>
      <c r="I40" s="165"/>
      <c r="J40" s="176"/>
      <c r="K40" s="165"/>
    </row>
    <row r="41" spans="1:13">
      <c r="D41" s="755"/>
      <c r="E41" s="165"/>
      <c r="F41" s="165"/>
      <c r="G41" s="165"/>
      <c r="H41" s="165"/>
      <c r="I41" s="165"/>
      <c r="J41" s="176"/>
      <c r="K41" s="165"/>
    </row>
    <row r="42" spans="1:13" ht="12.75" customHeight="1">
      <c r="A42" s="1218" t="s">
        <v>1103</v>
      </c>
      <c r="B42" s="1218"/>
      <c r="C42" s="1218"/>
      <c r="D42" s="1218"/>
      <c r="E42" s="1218"/>
      <c r="F42" s="1218"/>
      <c r="G42" s="1218"/>
      <c r="H42" s="1218"/>
      <c r="I42" s="1218"/>
      <c r="J42" s="1218"/>
      <c r="K42" s="1218"/>
      <c r="L42" s="661"/>
    </row>
    <row r="43" spans="1:13" ht="12.75" customHeight="1">
      <c r="A43" s="1218"/>
      <c r="B43" s="1218"/>
      <c r="C43" s="1218"/>
      <c r="D43" s="1218"/>
      <c r="E43" s="1218"/>
      <c r="F43" s="1218"/>
      <c r="G43" s="1218"/>
      <c r="H43" s="1218"/>
      <c r="I43" s="1218"/>
      <c r="J43" s="1218"/>
      <c r="K43" s="1218"/>
      <c r="L43" s="661"/>
    </row>
    <row r="44" spans="1:13">
      <c r="B44" s="353"/>
      <c r="C44" s="149"/>
      <c r="D44" s="4"/>
      <c r="E44" s="4"/>
      <c r="F44" s="48"/>
      <c r="G44" s="113"/>
      <c r="H44" s="120"/>
      <c r="I44" s="120"/>
      <c r="J44" s="121"/>
      <c r="K44" s="120"/>
      <c r="L44" s="222"/>
    </row>
    <row r="45" spans="1:13">
      <c r="A45" s="353" t="s">
        <v>407</v>
      </c>
      <c r="B45" s="353" t="s">
        <v>566</v>
      </c>
      <c r="C45" s="131"/>
      <c r="D45" s="353" t="s">
        <v>96</v>
      </c>
      <c r="E45" s="248" t="s">
        <v>567</v>
      </c>
      <c r="G45" s="53"/>
      <c r="H45" s="53"/>
      <c r="I45" s="149"/>
      <c r="J45" s="121"/>
      <c r="K45" s="120"/>
      <c r="L45" s="222"/>
    </row>
    <row r="46" spans="1:13" ht="15.75">
      <c r="A46" s="353" t="s">
        <v>37</v>
      </c>
      <c r="B46" s="1223" t="s">
        <v>1104</v>
      </c>
      <c r="C46" s="1223"/>
      <c r="D46" s="1223"/>
      <c r="E46" s="1223"/>
      <c r="F46" s="1223"/>
      <c r="G46" s="1223"/>
      <c r="H46" s="1223"/>
      <c r="I46" s="428"/>
      <c r="J46" s="121"/>
      <c r="K46" s="120"/>
      <c r="L46" s="222"/>
    </row>
    <row r="47" spans="1:13">
      <c r="A47" s="353" t="s">
        <v>424</v>
      </c>
      <c r="B47" s="20" t="s">
        <v>113</v>
      </c>
      <c r="D47" s="4" t="s">
        <v>114</v>
      </c>
      <c r="E47" s="48">
        <v>200</v>
      </c>
      <c r="G47" s="113"/>
      <c r="H47" s="120"/>
      <c r="I47" s="120"/>
      <c r="J47" s="121"/>
      <c r="K47" s="120"/>
      <c r="L47" s="222"/>
    </row>
    <row r="48" spans="1:13">
      <c r="A48" s="353"/>
      <c r="B48" s="20" t="s">
        <v>1105</v>
      </c>
      <c r="D48" s="4" t="s">
        <v>114</v>
      </c>
      <c r="E48" s="48">
        <v>200</v>
      </c>
      <c r="G48" s="113"/>
      <c r="I48" s="165"/>
      <c r="J48" s="173"/>
      <c r="K48" s="120"/>
      <c r="L48" s="222"/>
    </row>
    <row r="49" spans="1:12" ht="20.25" customHeight="1">
      <c r="A49" s="353"/>
      <c r="B49" s="430" t="s">
        <v>1106</v>
      </c>
      <c r="C49" s="222"/>
      <c r="D49" s="4" t="s">
        <v>114</v>
      </c>
      <c r="E49" s="48">
        <v>200</v>
      </c>
      <c r="G49" s="113"/>
      <c r="H49" s="120"/>
      <c r="I49" s="120"/>
      <c r="J49" s="121"/>
      <c r="K49" s="120"/>
      <c r="L49" s="222"/>
    </row>
    <row r="50" spans="1:12">
      <c r="A50" s="353"/>
      <c r="B50" s="353"/>
      <c r="C50" s="149"/>
      <c r="D50" s="4"/>
      <c r="E50" s="4"/>
      <c r="F50" s="48"/>
      <c r="G50" s="113"/>
      <c r="H50" s="120"/>
      <c r="I50" s="120"/>
      <c r="J50" s="121"/>
      <c r="K50" s="120"/>
      <c r="L50" s="222"/>
    </row>
    <row r="51" spans="1:12" ht="15.75">
      <c r="A51" s="353" t="s">
        <v>38</v>
      </c>
      <c r="B51" s="1223" t="s">
        <v>1107</v>
      </c>
      <c r="C51" s="1223"/>
      <c r="D51" s="1223"/>
      <c r="E51" s="1223"/>
      <c r="F51" s="1223"/>
      <c r="G51" s="1223"/>
      <c r="H51" s="1223"/>
      <c r="I51" s="428"/>
      <c r="J51" s="121"/>
      <c r="K51" s="120"/>
      <c r="L51" s="222"/>
    </row>
    <row r="52" spans="1:12" ht="72" customHeight="1">
      <c r="A52" s="353"/>
      <c r="B52" s="429" t="s">
        <v>1108</v>
      </c>
      <c r="D52" s="53" t="s">
        <v>114</v>
      </c>
      <c r="E52" s="48">
        <v>220</v>
      </c>
      <c r="G52" s="1229" t="s">
        <v>1109</v>
      </c>
      <c r="H52" s="1229"/>
      <c r="J52" s="48">
        <v>220</v>
      </c>
      <c r="L52" s="222"/>
    </row>
    <row r="53" spans="1:12">
      <c r="A53" s="353"/>
      <c r="B53" s="20" t="s">
        <v>1110</v>
      </c>
      <c r="D53" s="4" t="s">
        <v>114</v>
      </c>
      <c r="E53" s="48">
        <v>220</v>
      </c>
      <c r="G53" s="1230" t="s">
        <v>1111</v>
      </c>
      <c r="H53" s="1230"/>
      <c r="I53" s="4" t="s">
        <v>114</v>
      </c>
      <c r="J53" s="48">
        <v>220</v>
      </c>
      <c r="L53" s="222"/>
    </row>
    <row r="54" spans="1:12">
      <c r="A54" s="353"/>
      <c r="B54" s="149" t="s">
        <v>26</v>
      </c>
      <c r="D54" s="4" t="s">
        <v>114</v>
      </c>
      <c r="E54" s="48">
        <v>220</v>
      </c>
      <c r="G54" s="1230" t="s">
        <v>1112</v>
      </c>
      <c r="H54" s="1230"/>
      <c r="I54" s="4" t="s">
        <v>114</v>
      </c>
      <c r="J54" s="48">
        <v>220</v>
      </c>
      <c r="L54" s="222"/>
    </row>
    <row r="55" spans="1:12">
      <c r="A55" s="353"/>
      <c r="B55" s="353"/>
      <c r="C55" s="149"/>
      <c r="D55" s="4"/>
      <c r="E55" s="4"/>
      <c r="F55" s="48"/>
      <c r="G55" s="113"/>
      <c r="H55" s="149"/>
      <c r="I55" s="121"/>
      <c r="J55" s="4"/>
      <c r="K55" s="48"/>
      <c r="L55" s="222"/>
    </row>
    <row r="56" spans="1:12" ht="15.75">
      <c r="A56" s="353" t="s">
        <v>39</v>
      </c>
      <c r="B56" s="1223" t="s">
        <v>1113</v>
      </c>
      <c r="C56" s="1223"/>
      <c r="D56" s="1223"/>
      <c r="E56" s="1223"/>
      <c r="F56" s="1223"/>
      <c r="G56" s="1223"/>
      <c r="H56" s="1223"/>
      <c r="I56" s="428"/>
      <c r="J56" s="121"/>
      <c r="K56" s="121"/>
      <c r="L56" s="222"/>
    </row>
    <row r="57" spans="1:12">
      <c r="A57" s="353"/>
      <c r="B57" s="149" t="s">
        <v>1114</v>
      </c>
      <c r="C57" s="121"/>
      <c r="D57" s="4" t="s">
        <v>114</v>
      </c>
      <c r="E57" s="765">
        <v>240</v>
      </c>
      <c r="F57" s="121"/>
      <c r="G57" s="20" t="s">
        <v>1115</v>
      </c>
      <c r="H57" s="121"/>
      <c r="I57" s="4" t="s">
        <v>114</v>
      </c>
      <c r="J57" s="765">
        <v>240</v>
      </c>
      <c r="L57" s="222"/>
    </row>
    <row r="58" spans="1:12">
      <c r="A58" s="353"/>
      <c r="B58" s="149" t="s">
        <v>1116</v>
      </c>
      <c r="C58" s="121"/>
      <c r="D58" s="4" t="s">
        <v>114</v>
      </c>
      <c r="E58" s="765">
        <v>240</v>
      </c>
      <c r="F58" s="121"/>
      <c r="G58" s="20" t="s">
        <v>1117</v>
      </c>
      <c r="H58" s="121"/>
      <c r="I58" s="4" t="s">
        <v>114</v>
      </c>
      <c r="J58" s="765">
        <v>240</v>
      </c>
      <c r="L58" s="222"/>
    </row>
    <row r="59" spans="1:12">
      <c r="A59" s="353"/>
      <c r="B59" s="149" t="s">
        <v>1118</v>
      </c>
      <c r="C59" s="121"/>
      <c r="D59" s="4" t="s">
        <v>114</v>
      </c>
      <c r="E59" s="765">
        <v>240</v>
      </c>
      <c r="F59" s="121"/>
      <c r="G59" s="20" t="s">
        <v>1119</v>
      </c>
      <c r="H59" s="121"/>
      <c r="I59" s="4" t="s">
        <v>114</v>
      </c>
      <c r="J59" s="765">
        <v>240</v>
      </c>
      <c r="L59" s="222"/>
    </row>
    <row r="60" spans="1:12">
      <c r="A60" s="353"/>
      <c r="B60" s="149" t="s">
        <v>1120</v>
      </c>
      <c r="C60" s="121"/>
      <c r="D60" s="4" t="s">
        <v>114</v>
      </c>
      <c r="E60" s="765">
        <v>240</v>
      </c>
      <c r="F60" s="121"/>
      <c r="G60" s="20" t="s">
        <v>1121</v>
      </c>
      <c r="H60" s="121"/>
      <c r="I60" s="4" t="s">
        <v>114</v>
      </c>
      <c r="J60" s="765">
        <v>240</v>
      </c>
      <c r="L60" s="222"/>
    </row>
    <row r="61" spans="1:12">
      <c r="A61" s="353"/>
      <c r="B61" s="149" t="s">
        <v>1122</v>
      </c>
      <c r="C61" s="121"/>
      <c r="D61" s="4" t="s">
        <v>114</v>
      </c>
      <c r="E61" s="765">
        <v>240</v>
      </c>
      <c r="F61" s="121"/>
      <c r="G61" s="20" t="s">
        <v>1123</v>
      </c>
      <c r="H61" s="121"/>
      <c r="I61" s="4" t="s">
        <v>114</v>
      </c>
      <c r="J61" s="765">
        <v>240</v>
      </c>
      <c r="L61" s="222"/>
    </row>
    <row r="62" spans="1:12">
      <c r="A62" s="353"/>
      <c r="B62" s="353"/>
      <c r="C62" s="149"/>
      <c r="D62" s="121"/>
      <c r="E62" s="121"/>
      <c r="F62" s="186"/>
      <c r="G62" s="121"/>
      <c r="H62" s="121"/>
      <c r="I62" s="121"/>
      <c r="J62" s="121"/>
      <c r="K62" s="121"/>
      <c r="L62" s="222"/>
    </row>
    <row r="63" spans="1:12" ht="15.75">
      <c r="A63" s="353" t="s">
        <v>213</v>
      </c>
      <c r="B63" s="1223" t="s">
        <v>1124</v>
      </c>
      <c r="C63" s="1223"/>
      <c r="D63" s="1223"/>
      <c r="E63" s="1223"/>
      <c r="F63" s="1223"/>
      <c r="G63" s="1223"/>
      <c r="H63" s="1223"/>
      <c r="I63" s="428"/>
      <c r="J63" s="121"/>
      <c r="K63" s="121"/>
      <c r="L63" s="222"/>
    </row>
    <row r="64" spans="1:12">
      <c r="A64" s="353"/>
      <c r="B64" s="149" t="s">
        <v>1125</v>
      </c>
      <c r="C64" s="121"/>
      <c r="D64" s="4" t="s">
        <v>114</v>
      </c>
      <c r="E64" s="765">
        <v>260</v>
      </c>
      <c r="F64" s="121"/>
      <c r="G64" s="4" t="s">
        <v>1126</v>
      </c>
      <c r="I64" s="4" t="s">
        <v>114</v>
      </c>
      <c r="J64" s="765">
        <v>260</v>
      </c>
      <c r="L64" s="222"/>
    </row>
    <row r="65" spans="1:12">
      <c r="A65" s="353"/>
      <c r="B65" s="149" t="s">
        <v>1127</v>
      </c>
      <c r="C65" s="121"/>
      <c r="D65" s="4" t="s">
        <v>114</v>
      </c>
      <c r="E65" s="765">
        <v>260</v>
      </c>
      <c r="F65" s="121"/>
      <c r="G65" s="149" t="s">
        <v>1128</v>
      </c>
      <c r="H65" s="121"/>
      <c r="I65" s="4" t="s">
        <v>114</v>
      </c>
      <c r="J65" s="765">
        <v>260</v>
      </c>
      <c r="L65" s="222"/>
    </row>
    <row r="66" spans="1:12">
      <c r="A66" s="353"/>
      <c r="B66" s="20" t="s">
        <v>1129</v>
      </c>
      <c r="C66" s="121"/>
      <c r="D66" s="4" t="s">
        <v>114</v>
      </c>
      <c r="E66" s="765">
        <v>260</v>
      </c>
      <c r="F66" s="121"/>
      <c r="G66" s="149" t="s">
        <v>1130</v>
      </c>
      <c r="H66" s="121"/>
      <c r="I66" s="4" t="s">
        <v>114</v>
      </c>
      <c r="J66" s="765">
        <v>260</v>
      </c>
      <c r="L66" s="222"/>
    </row>
    <row r="67" spans="1:12">
      <c r="A67" s="353"/>
      <c r="B67" s="149" t="s">
        <v>1131</v>
      </c>
      <c r="C67" s="121"/>
      <c r="D67" s="4" t="s">
        <v>114</v>
      </c>
      <c r="E67" s="765">
        <v>260</v>
      </c>
      <c r="F67" s="121"/>
      <c r="G67" s="20" t="s">
        <v>1132</v>
      </c>
      <c r="H67" s="121"/>
      <c r="I67" s="4" t="s">
        <v>114</v>
      </c>
      <c r="J67" s="765">
        <v>260</v>
      </c>
      <c r="L67" s="222"/>
    </row>
    <row r="68" spans="1:12">
      <c r="A68" s="353"/>
      <c r="B68" s="171" t="s">
        <v>1133</v>
      </c>
      <c r="C68" s="121"/>
      <c r="D68" s="4" t="s">
        <v>114</v>
      </c>
      <c r="E68" s="765">
        <v>260</v>
      </c>
      <c r="F68" s="121"/>
      <c r="G68" s="171" t="s">
        <v>1134</v>
      </c>
      <c r="H68" s="121"/>
      <c r="I68" s="4" t="s">
        <v>114</v>
      </c>
      <c r="J68" s="765">
        <v>260</v>
      </c>
      <c r="L68" s="222"/>
    </row>
    <row r="69" spans="1:12">
      <c r="A69" s="353"/>
      <c r="B69" s="353"/>
      <c r="D69" s="121"/>
      <c r="E69" s="121"/>
      <c r="F69" s="186"/>
      <c r="G69" s="121"/>
      <c r="H69" s="121"/>
      <c r="I69" s="121"/>
      <c r="J69" s="121"/>
      <c r="K69" s="121"/>
      <c r="L69" s="222"/>
    </row>
    <row r="70" spans="1:12" ht="15.75">
      <c r="A70" s="353" t="s">
        <v>569</v>
      </c>
      <c r="B70" s="1228" t="s">
        <v>1135</v>
      </c>
      <c r="C70" s="1228"/>
      <c r="D70" s="1228"/>
      <c r="E70" s="1228"/>
      <c r="F70" s="1228"/>
      <c r="G70" s="1228"/>
      <c r="H70" s="1228"/>
      <c r="I70" s="766"/>
      <c r="J70" s="766"/>
      <c r="K70" s="766"/>
      <c r="L70" s="766"/>
    </row>
    <row r="71" spans="1:12">
      <c r="B71" s="353"/>
      <c r="L71" s="222"/>
    </row>
    <row r="72" spans="1:12">
      <c r="B72" s="415" t="s">
        <v>1136</v>
      </c>
      <c r="C72" s="121"/>
      <c r="D72" s="4" t="s">
        <v>1137</v>
      </c>
      <c r="E72" s="765">
        <v>1831</v>
      </c>
      <c r="F72" s="121"/>
      <c r="G72" s="171" t="s">
        <v>1138</v>
      </c>
      <c r="H72" s="430" t="s">
        <v>1139</v>
      </c>
      <c r="I72" s="121" t="s">
        <v>1137</v>
      </c>
      <c r="J72" s="120">
        <v>106</v>
      </c>
      <c r="L72" s="222"/>
    </row>
    <row r="73" spans="1:12">
      <c r="B73" s="171" t="s">
        <v>1136</v>
      </c>
      <c r="C73" s="121"/>
      <c r="D73" s="4" t="s">
        <v>1137</v>
      </c>
      <c r="E73" s="765">
        <v>2519</v>
      </c>
      <c r="F73" s="121"/>
      <c r="G73" s="171" t="s">
        <v>1140</v>
      </c>
      <c r="H73" s="121"/>
      <c r="I73" s="121" t="s">
        <v>1137</v>
      </c>
      <c r="J73" s="121">
        <v>450</v>
      </c>
      <c r="L73" s="222"/>
    </row>
    <row r="74" spans="1:12">
      <c r="B74" s="171" t="s">
        <v>1141</v>
      </c>
      <c r="C74" s="121"/>
      <c r="D74" s="4" t="s">
        <v>1137</v>
      </c>
      <c r="E74" s="765">
        <v>994</v>
      </c>
      <c r="F74" s="121"/>
      <c r="G74" s="171" t="s">
        <v>1142</v>
      </c>
      <c r="H74" s="121"/>
      <c r="I74" s="121" t="s">
        <v>1137</v>
      </c>
      <c r="J74" s="121">
        <v>1125</v>
      </c>
      <c r="L74" s="222"/>
    </row>
    <row r="75" spans="1:12">
      <c r="B75" s="171" t="s">
        <v>509</v>
      </c>
      <c r="C75" s="121"/>
      <c r="D75" s="4" t="s">
        <v>1137</v>
      </c>
      <c r="E75" s="765">
        <v>177</v>
      </c>
      <c r="F75" s="121"/>
      <c r="G75" s="171" t="s">
        <v>1143</v>
      </c>
      <c r="H75" s="121"/>
      <c r="I75" s="121" t="s">
        <v>1137</v>
      </c>
      <c r="J75" s="121">
        <v>240</v>
      </c>
      <c r="L75" s="222"/>
    </row>
    <row r="76" spans="1:12">
      <c r="B76" s="149"/>
      <c r="C76" s="121"/>
      <c r="D76" s="4" t="s">
        <v>1137</v>
      </c>
      <c r="E76" s="186"/>
      <c r="F76" s="121"/>
      <c r="G76" s="171" t="s">
        <v>1144</v>
      </c>
      <c r="H76" s="121"/>
      <c r="I76" s="121" t="s">
        <v>1137</v>
      </c>
      <c r="J76" s="121">
        <v>425</v>
      </c>
      <c r="L76" s="222"/>
    </row>
    <row r="77" spans="1:12">
      <c r="B77" s="149"/>
      <c r="C77" s="121"/>
      <c r="D77" s="121"/>
      <c r="E77" s="186"/>
      <c r="F77" s="121"/>
      <c r="G77" s="171" t="s">
        <v>1145</v>
      </c>
      <c r="H77" s="121"/>
      <c r="I77" s="121" t="s">
        <v>1137</v>
      </c>
      <c r="J77" s="121">
        <v>905</v>
      </c>
      <c r="K77" s="121"/>
      <c r="L77" s="222"/>
    </row>
    <row r="78" spans="1:12">
      <c r="B78" s="353"/>
      <c r="C78" s="149"/>
      <c r="D78" s="121"/>
      <c r="E78" s="121"/>
      <c r="F78" s="186"/>
      <c r="G78" s="121"/>
      <c r="H78" s="121"/>
      <c r="I78" s="121"/>
      <c r="J78" s="121"/>
      <c r="K78" s="121"/>
      <c r="L78" s="222"/>
    </row>
    <row r="79" spans="1:12" ht="15">
      <c r="B79" s="416" t="s">
        <v>1146</v>
      </c>
      <c r="C79" s="417"/>
      <c r="D79" s="418"/>
      <c r="E79" s="419"/>
      <c r="F79" s="418"/>
      <c r="H79" s="21"/>
      <c r="I79" s="21"/>
      <c r="J79" s="21"/>
      <c r="K79" s="121"/>
      <c r="L79" s="222"/>
    </row>
    <row r="80" spans="1:12" ht="25.5">
      <c r="B80" s="420" t="s">
        <v>1147</v>
      </c>
      <c r="C80" s="420" t="s">
        <v>96</v>
      </c>
      <c r="D80" s="162" t="s">
        <v>1148</v>
      </c>
      <c r="E80" s="420" t="s">
        <v>1149</v>
      </c>
      <c r="F80" s="162" t="s">
        <v>1150</v>
      </c>
      <c r="I80" s="165"/>
      <c r="L80" s="222"/>
    </row>
    <row r="81" spans="2:12">
      <c r="B81" s="422" t="s">
        <v>1151</v>
      </c>
      <c r="C81" s="423" t="s">
        <v>269</v>
      </c>
      <c r="D81" s="424">
        <v>174</v>
      </c>
      <c r="E81" s="425">
        <v>69.599999999999994</v>
      </c>
      <c r="F81" s="426">
        <v>243.6</v>
      </c>
      <c r="I81" s="165"/>
      <c r="J81" s="173"/>
      <c r="L81" s="222"/>
    </row>
    <row r="82" spans="2:12" ht="25.5">
      <c r="B82" s="422" t="s">
        <v>1152</v>
      </c>
      <c r="C82" s="423" t="s">
        <v>269</v>
      </c>
      <c r="D82" s="424">
        <v>450</v>
      </c>
      <c r="E82" s="425">
        <v>180</v>
      </c>
      <c r="F82" s="426">
        <v>630</v>
      </c>
      <c r="I82" s="165"/>
      <c r="J82" s="173"/>
      <c r="L82" s="222"/>
    </row>
    <row r="83" spans="2:12">
      <c r="B83" s="422" t="s">
        <v>1153</v>
      </c>
      <c r="C83" s="423" t="s">
        <v>269</v>
      </c>
      <c r="D83" s="424">
        <v>1358</v>
      </c>
      <c r="E83" s="425">
        <v>543.20000000000005</v>
      </c>
      <c r="F83" s="426">
        <v>1901.2</v>
      </c>
      <c r="I83" s="165"/>
      <c r="J83" s="173"/>
      <c r="L83" s="222"/>
    </row>
    <row r="84" spans="2:12">
      <c r="B84" s="422" t="s">
        <v>1154</v>
      </c>
      <c r="C84" s="423" t="s">
        <v>269</v>
      </c>
      <c r="D84" s="424">
        <v>2701</v>
      </c>
      <c r="E84" s="425">
        <v>1080.4000000000001</v>
      </c>
      <c r="F84" s="426">
        <v>3781.4</v>
      </c>
      <c r="I84" s="165"/>
      <c r="J84" s="173"/>
      <c r="L84" s="222"/>
    </row>
    <row r="85" spans="2:12" ht="25.5">
      <c r="B85" s="422" t="s">
        <v>1155</v>
      </c>
      <c r="C85" s="423" t="s">
        <v>269</v>
      </c>
      <c r="D85" s="424">
        <v>3283</v>
      </c>
      <c r="E85" s="425">
        <v>1313.1999999999998</v>
      </c>
      <c r="F85" s="426">
        <v>4596.2</v>
      </c>
      <c r="H85" s="427"/>
      <c r="I85" s="356"/>
      <c r="J85" s="356"/>
      <c r="K85" s="165"/>
      <c r="L85" s="222"/>
    </row>
    <row r="86" spans="2:12" ht="25.5">
      <c r="B86" s="422" t="s">
        <v>1156</v>
      </c>
      <c r="C86" s="423" t="s">
        <v>269</v>
      </c>
      <c r="D86" s="424">
        <v>4420</v>
      </c>
      <c r="E86" s="425">
        <v>1768</v>
      </c>
      <c r="F86" s="426">
        <v>6188</v>
      </c>
      <c r="H86" s="421"/>
      <c r="I86" s="421"/>
      <c r="J86" s="421"/>
      <c r="K86" s="121"/>
      <c r="L86" s="222"/>
    </row>
    <row r="87" spans="2:12">
      <c r="B87" s="767"/>
      <c r="D87" s="165"/>
      <c r="E87" s="165"/>
      <c r="F87" s="113"/>
      <c r="G87" s="165"/>
      <c r="H87" s="165"/>
      <c r="I87" s="165"/>
      <c r="J87" s="176"/>
      <c r="K87" s="165"/>
      <c r="L87" s="647"/>
    </row>
  </sheetData>
  <mergeCells count="71">
    <mergeCell ref="F22:F23"/>
    <mergeCell ref="I20:I21"/>
    <mergeCell ref="J20:J21"/>
    <mergeCell ref="C22:C23"/>
    <mergeCell ref="D22:D23"/>
    <mergeCell ref="E22:E23"/>
    <mergeCell ref="G22:G23"/>
    <mergeCell ref="H22:H23"/>
    <mergeCell ref="I22:I23"/>
    <mergeCell ref="J22:J23"/>
    <mergeCell ref="C20:C21"/>
    <mergeCell ref="D20:D21"/>
    <mergeCell ref="E20:E21"/>
    <mergeCell ref="F20:F21"/>
    <mergeCell ref="G20:G21"/>
    <mergeCell ref="H20:H21"/>
    <mergeCell ref="I17:I18"/>
    <mergeCell ref="J17:J18"/>
    <mergeCell ref="K17:K18"/>
    <mergeCell ref="C17:C18"/>
    <mergeCell ref="D17:D18"/>
    <mergeCell ref="E17:E18"/>
    <mergeCell ref="F17:F18"/>
    <mergeCell ref="G17:G18"/>
    <mergeCell ref="H17:H18"/>
    <mergeCell ref="C5:C6"/>
    <mergeCell ref="D5:D6"/>
    <mergeCell ref="D8:D9"/>
    <mergeCell ref="C11:C12"/>
    <mergeCell ref="C8:C9"/>
    <mergeCell ref="I5:I6"/>
    <mergeCell ref="J5:J6"/>
    <mergeCell ref="K5:K6"/>
    <mergeCell ref="E8:E9"/>
    <mergeCell ref="F8:F9"/>
    <mergeCell ref="G8:G9"/>
    <mergeCell ref="H8:H9"/>
    <mergeCell ref="I8:I9"/>
    <mergeCell ref="J8:J9"/>
    <mergeCell ref="K8:K9"/>
    <mergeCell ref="E5:E6"/>
    <mergeCell ref="F5:F6"/>
    <mergeCell ref="G5:G6"/>
    <mergeCell ref="H5:H6"/>
    <mergeCell ref="E11:E12"/>
    <mergeCell ref="F11:F12"/>
    <mergeCell ref="G11:G12"/>
    <mergeCell ref="H11:H12"/>
    <mergeCell ref="I11:I12"/>
    <mergeCell ref="B70:H70"/>
    <mergeCell ref="B63:H63"/>
    <mergeCell ref="B56:H56"/>
    <mergeCell ref="G52:H52"/>
    <mergeCell ref="G53:H53"/>
    <mergeCell ref="G54:H54"/>
    <mergeCell ref="A42:K43"/>
    <mergeCell ref="A1:K1"/>
    <mergeCell ref="I14:I15"/>
    <mergeCell ref="C14:C15"/>
    <mergeCell ref="B51:H51"/>
    <mergeCell ref="B46:H46"/>
    <mergeCell ref="J11:J12"/>
    <mergeCell ref="K11:K12"/>
    <mergeCell ref="J14:J15"/>
    <mergeCell ref="K14:K15"/>
    <mergeCell ref="D14:D15"/>
    <mergeCell ref="E14:E15"/>
    <mergeCell ref="F14:F15"/>
    <mergeCell ref="G14:G15"/>
    <mergeCell ref="H14:H15"/>
    <mergeCell ref="D11:D12"/>
  </mergeCells>
  <phoneticPr fontId="0" type="noConversion"/>
  <printOptions horizontalCentered="1" gridLines="1"/>
  <pageMargins left="0.17716535433070901" right="0.17716535433070901" top="0.927165354" bottom="0.427165354" header="0.23622047244094499" footer="0.27559055118110198"/>
  <pageSetup paperSize="9" firstPageNumber="118" orientation="landscape" useFirstPageNumber="1" verticalDpi="300" r:id="rId1"/>
  <headerFooter alignWithMargins="0">
    <oddHeader>&amp;C&amp;"Arial,Bold"&amp;12PROJECT:-&amp;"Arial,Regular"
PROPOSED CONSTRUCTION OF EMRS (Ekalavya Model Residential School)
 AT BIKRAMPUR, DIST:-RAYAGADA, ODISHA.</oddHeader>
    <oddFooter>&amp;L&amp;"Arial,Bold"&amp;11HSCL</oddFooter>
  </headerFooter>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0"/>
  <sheetViews>
    <sheetView view="pageBreakPreview" topLeftCell="A53" zoomScale="120" zoomScaleSheetLayoutView="120" workbookViewId="0">
      <selection activeCell="B61" sqref="B61"/>
    </sheetView>
  </sheetViews>
  <sheetFormatPr defaultRowHeight="12.75"/>
  <cols>
    <col min="1" max="1" width="6" customWidth="1"/>
    <col min="2" max="2" width="49.140625" customWidth="1"/>
    <col min="3" max="3" width="7.7109375" style="1" customWidth="1"/>
    <col min="4" max="4" width="9" style="1" customWidth="1"/>
    <col min="5" max="5" width="8.7109375" style="1" customWidth="1"/>
    <col min="6" max="6" width="10.140625" style="1" customWidth="1"/>
    <col min="7" max="7" width="9.28515625" style="1" customWidth="1"/>
    <col min="8" max="8" width="8.5703125" style="1" bestFit="1" customWidth="1"/>
    <col min="9" max="9" width="9.5703125" style="1" customWidth="1"/>
    <col min="10" max="10" width="13.140625" style="1" customWidth="1"/>
    <col min="12" max="12" width="8.85546875" customWidth="1"/>
  </cols>
  <sheetData>
    <row r="1" spans="1:10" s="149" customFormat="1" ht="19.5" customHeight="1">
      <c r="A1" s="1237" t="s">
        <v>374</v>
      </c>
      <c r="B1" s="1238"/>
      <c r="C1" s="1238"/>
      <c r="D1" s="1238"/>
      <c r="E1" s="1238"/>
      <c r="F1" s="1239"/>
      <c r="G1" s="121"/>
      <c r="H1" s="121"/>
      <c r="I1" s="121"/>
      <c r="J1" s="121"/>
    </row>
    <row r="2" spans="1:10" s="149" customFormat="1" ht="16.5">
      <c r="A2" s="1240"/>
      <c r="B2" s="1240"/>
      <c r="C2" s="1240"/>
      <c r="D2" s="1240"/>
      <c r="E2" s="1240"/>
      <c r="F2" s="1240"/>
      <c r="G2" s="121"/>
      <c r="H2" s="121"/>
      <c r="I2" s="121"/>
      <c r="J2" s="121"/>
    </row>
    <row r="3" spans="1:10" s="149" customFormat="1">
      <c r="A3" s="161" t="s">
        <v>172</v>
      </c>
      <c r="B3" s="162" t="s">
        <v>19</v>
      </c>
      <c r="C3" s="163" t="s">
        <v>173</v>
      </c>
      <c r="D3" s="163" t="s">
        <v>21</v>
      </c>
      <c r="E3" s="163" t="s">
        <v>20</v>
      </c>
      <c r="F3" s="163" t="s">
        <v>22</v>
      </c>
      <c r="G3" s="121"/>
      <c r="H3" s="121"/>
      <c r="I3" s="121"/>
      <c r="J3" s="121"/>
    </row>
    <row r="4" spans="1:10" s="149" customFormat="1" ht="63.75">
      <c r="A4" s="133">
        <v>1</v>
      </c>
      <c r="B4" s="99" t="s">
        <v>232</v>
      </c>
      <c r="C4" s="96" t="s">
        <v>130</v>
      </c>
      <c r="D4" s="96"/>
      <c r="E4" s="96"/>
      <c r="F4" s="96"/>
      <c r="G4" s="121"/>
      <c r="H4" s="121"/>
      <c r="I4" s="121"/>
      <c r="J4" s="121"/>
    </row>
    <row r="5" spans="1:10" s="149" customFormat="1">
      <c r="B5" s="63" t="s">
        <v>233</v>
      </c>
      <c r="C5" s="96"/>
      <c r="D5" s="96"/>
      <c r="E5" s="96"/>
      <c r="F5" s="96"/>
      <c r="G5" s="121"/>
      <c r="H5" s="121"/>
      <c r="I5" s="121"/>
      <c r="J5" s="121"/>
    </row>
    <row r="6" spans="1:10" s="149" customFormat="1">
      <c r="B6" s="63" t="s">
        <v>113</v>
      </c>
      <c r="C6" s="96">
        <v>16</v>
      </c>
      <c r="D6" s="96" t="s">
        <v>114</v>
      </c>
      <c r="E6" s="96">
        <f>Lead!E47</f>
        <v>200</v>
      </c>
      <c r="F6" s="96">
        <f>C6*E6</f>
        <v>3200</v>
      </c>
      <c r="G6" s="121"/>
      <c r="H6" s="121"/>
      <c r="I6" s="121"/>
      <c r="J6" s="121"/>
    </row>
    <row r="7" spans="1:10" s="149" customFormat="1">
      <c r="B7" s="63" t="s">
        <v>115</v>
      </c>
      <c r="C7" s="96">
        <v>16</v>
      </c>
      <c r="D7" s="96" t="s">
        <v>114</v>
      </c>
      <c r="E7" s="96">
        <f>Lead!E48</f>
        <v>200</v>
      </c>
      <c r="F7" s="96">
        <f>C7*E7</f>
        <v>3200</v>
      </c>
      <c r="G7" s="121"/>
      <c r="H7" s="121"/>
      <c r="I7" s="121"/>
      <c r="J7" s="121"/>
    </row>
    <row r="8" spans="1:10" s="149" customFormat="1">
      <c r="B8" s="15" t="s">
        <v>322</v>
      </c>
      <c r="C8" s="16"/>
      <c r="D8" s="96" t="s">
        <v>116</v>
      </c>
      <c r="E8" s="96">
        <f>SUM(F6:F7)</f>
        <v>6400</v>
      </c>
      <c r="F8" s="96">
        <f>E8*0.075</f>
        <v>480</v>
      </c>
      <c r="G8" s="121"/>
      <c r="H8" s="121"/>
      <c r="I8" s="121"/>
      <c r="J8" s="121"/>
    </row>
    <row r="9" spans="1:10" s="149" customFormat="1">
      <c r="B9" s="63" t="s">
        <v>323</v>
      </c>
      <c r="C9" s="16"/>
      <c r="D9" s="96" t="s">
        <v>116</v>
      </c>
      <c r="E9" s="96">
        <f>SUM(F6:F7)</f>
        <v>6400</v>
      </c>
      <c r="F9" s="96">
        <f>E9*0.075</f>
        <v>480</v>
      </c>
      <c r="G9" s="121"/>
      <c r="H9" s="121"/>
      <c r="I9" s="121"/>
      <c r="J9" s="121"/>
    </row>
    <row r="10" spans="1:10" s="149" customFormat="1">
      <c r="B10" s="63" t="s">
        <v>117</v>
      </c>
      <c r="C10" s="96"/>
      <c r="D10" s="96"/>
      <c r="E10" s="777"/>
      <c r="F10" s="96">
        <f>SUM(F6:F9)</f>
        <v>7360</v>
      </c>
      <c r="G10" s="121"/>
      <c r="H10" s="121"/>
      <c r="I10" s="121"/>
      <c r="J10" s="121"/>
    </row>
    <row r="11" spans="1:10" s="149" customFormat="1" ht="25.5">
      <c r="B11" s="63" t="s">
        <v>118</v>
      </c>
      <c r="C11" s="96"/>
      <c r="D11" s="96" t="s">
        <v>116</v>
      </c>
      <c r="E11" s="96">
        <f>SUM(F6:F9)</f>
        <v>7360</v>
      </c>
      <c r="F11" s="96">
        <f>E11*0.2</f>
        <v>1472</v>
      </c>
      <c r="G11" s="121"/>
      <c r="H11" s="121"/>
      <c r="I11" s="121"/>
      <c r="J11" s="121"/>
    </row>
    <row r="12" spans="1:10" s="149" customFormat="1">
      <c r="B12" s="63" t="s">
        <v>119</v>
      </c>
      <c r="C12" s="96"/>
      <c r="D12" s="96"/>
      <c r="E12" s="96"/>
      <c r="F12" s="96">
        <f>SUM(F10:F11)</f>
        <v>8832</v>
      </c>
      <c r="G12" s="121"/>
      <c r="H12" s="121"/>
      <c r="I12" s="121"/>
      <c r="J12" s="121"/>
    </row>
    <row r="13" spans="1:10" s="149" customFormat="1">
      <c r="B13" s="63" t="s">
        <v>177</v>
      </c>
      <c r="C13" s="96"/>
      <c r="D13" s="96"/>
      <c r="E13" s="96"/>
      <c r="F13" s="96">
        <f>F12/100</f>
        <v>88.32</v>
      </c>
      <c r="G13" s="121"/>
      <c r="H13" s="121"/>
      <c r="I13" s="121"/>
      <c r="J13" s="121"/>
    </row>
    <row r="14" spans="1:10" s="149" customFormat="1">
      <c r="B14" s="15" t="s">
        <v>429</v>
      </c>
      <c r="C14" s="16"/>
      <c r="D14" s="16"/>
      <c r="E14" s="16"/>
      <c r="F14" s="96">
        <f>F13*1%</f>
        <v>0.88319999999999999</v>
      </c>
      <c r="G14" s="121"/>
      <c r="H14" s="121"/>
      <c r="I14" s="121"/>
      <c r="J14" s="121"/>
    </row>
    <row r="15" spans="1:10" s="149" customFormat="1">
      <c r="B15" s="15"/>
      <c r="C15" s="16"/>
      <c r="D15" s="16"/>
      <c r="E15" s="16"/>
      <c r="F15" s="778">
        <f>SUM(F13:F14)</f>
        <v>89.203199999999995</v>
      </c>
      <c r="G15" s="121"/>
      <c r="H15" s="121"/>
      <c r="I15" s="121"/>
      <c r="J15" s="121"/>
    </row>
    <row r="16" spans="1:10" s="149" customFormat="1">
      <c r="B16" s="45"/>
      <c r="C16" s="777"/>
      <c r="D16" s="777"/>
      <c r="E16" s="777" t="s">
        <v>120</v>
      </c>
      <c r="F16" s="777">
        <f>ROUND(F15,1)</f>
        <v>89.2</v>
      </c>
      <c r="G16" s="121"/>
      <c r="H16" s="121"/>
      <c r="I16" s="121"/>
      <c r="J16" s="121"/>
    </row>
    <row r="17" spans="1:10" s="149" customFormat="1">
      <c r="B17" s="45"/>
      <c r="C17" s="777"/>
      <c r="D17" s="777"/>
      <c r="E17" s="777"/>
      <c r="F17" s="777"/>
      <c r="G17" s="121"/>
      <c r="H17" s="121"/>
      <c r="I17" s="121"/>
      <c r="J17" s="121"/>
    </row>
    <row r="18" spans="1:10" s="149" customFormat="1" ht="25.5">
      <c r="A18" s="133">
        <v>2</v>
      </c>
      <c r="B18" s="190" t="s">
        <v>516</v>
      </c>
      <c r="C18" s="121"/>
      <c r="D18" s="121"/>
      <c r="E18" s="121"/>
      <c r="F18" s="120">
        <f>F10/100</f>
        <v>73.599999999999994</v>
      </c>
      <c r="G18" s="121"/>
      <c r="H18" s="121"/>
      <c r="I18" s="121"/>
      <c r="J18" s="121"/>
    </row>
    <row r="19" spans="1:10" s="149" customFormat="1">
      <c r="C19" s="121"/>
      <c r="D19" s="121"/>
      <c r="E19" s="121"/>
      <c r="F19" s="121">
        <f>F18*2/3</f>
        <v>49.066666666666663</v>
      </c>
      <c r="G19" s="121"/>
      <c r="H19" s="121"/>
      <c r="I19" s="121"/>
      <c r="J19" s="121"/>
    </row>
    <row r="20" spans="1:10" s="149" customFormat="1">
      <c r="C20" s="121"/>
      <c r="D20" s="121"/>
      <c r="E20" s="16"/>
      <c r="F20" s="96">
        <f>F19*1%</f>
        <v>0.49066666666666664</v>
      </c>
      <c r="G20" s="121"/>
      <c r="H20" s="121"/>
      <c r="I20" s="121"/>
      <c r="J20" s="121"/>
    </row>
    <row r="21" spans="1:10" s="149" customFormat="1">
      <c r="C21" s="121"/>
      <c r="D21" s="121"/>
      <c r="E21" s="16"/>
      <c r="F21" s="778">
        <f>SUM(F19:F20)</f>
        <v>49.557333333333332</v>
      </c>
      <c r="G21" s="121"/>
      <c r="H21" s="121"/>
      <c r="I21" s="121"/>
      <c r="J21" s="121"/>
    </row>
    <row r="22" spans="1:10" s="149" customFormat="1">
      <c r="C22" s="121"/>
      <c r="D22" s="121"/>
      <c r="E22" s="777" t="s">
        <v>120</v>
      </c>
      <c r="F22" s="777">
        <f>ROUND(F21,1)</f>
        <v>49.6</v>
      </c>
      <c r="G22" s="121"/>
      <c r="H22" s="121"/>
      <c r="I22" s="121"/>
      <c r="J22" s="121"/>
    </row>
    <row r="23" spans="1:10" s="149" customFormat="1">
      <c r="C23" s="121"/>
      <c r="D23" s="121"/>
      <c r="E23" s="121"/>
      <c r="F23" s="121"/>
      <c r="G23" s="121"/>
      <c r="H23" s="121"/>
      <c r="I23" s="121"/>
      <c r="J23" s="121"/>
    </row>
    <row r="24" spans="1:10" s="149" customFormat="1">
      <c r="A24" s="133">
        <v>3</v>
      </c>
      <c r="B24" s="190" t="s">
        <v>517</v>
      </c>
      <c r="C24" s="121"/>
      <c r="D24" s="121"/>
      <c r="E24" s="121"/>
      <c r="F24" s="375">
        <f>F10</f>
        <v>7360</v>
      </c>
      <c r="G24" s="771"/>
      <c r="H24" s="121"/>
      <c r="I24" s="121"/>
      <c r="J24" s="121"/>
    </row>
    <row r="25" spans="1:10" s="149" customFormat="1">
      <c r="C25" s="121"/>
      <c r="D25" s="121"/>
      <c r="E25" s="121"/>
      <c r="F25" s="375">
        <f>F24/100</f>
        <v>73.599999999999994</v>
      </c>
      <c r="G25" s="771"/>
      <c r="H25" s="121"/>
      <c r="I25" s="121"/>
      <c r="J25" s="121"/>
    </row>
    <row r="26" spans="1:10" s="149" customFormat="1">
      <c r="C26" s="121"/>
      <c r="D26" s="121"/>
      <c r="E26" s="121"/>
      <c r="F26" s="96">
        <v>156.4</v>
      </c>
      <c r="G26" s="771"/>
      <c r="H26" s="121"/>
      <c r="I26" s="121"/>
      <c r="J26" s="121"/>
    </row>
    <row r="27" spans="1:10" s="149" customFormat="1">
      <c r="C27" s="121"/>
      <c r="D27" s="121"/>
      <c r="E27" s="121"/>
      <c r="F27" s="777">
        <f>SUM(F25:F26)</f>
        <v>230</v>
      </c>
      <c r="G27" s="771"/>
      <c r="H27" s="121"/>
      <c r="I27" s="121"/>
      <c r="J27" s="121"/>
    </row>
    <row r="28" spans="1:10" s="149" customFormat="1">
      <c r="C28" s="121"/>
      <c r="D28" s="121"/>
      <c r="E28" s="121"/>
      <c r="F28" s="376">
        <f>F27*1%</f>
        <v>2.3000000000000003</v>
      </c>
      <c r="G28" s="771"/>
      <c r="H28" s="121"/>
      <c r="I28" s="121"/>
      <c r="J28" s="121"/>
    </row>
    <row r="29" spans="1:10" s="149" customFormat="1">
      <c r="C29" s="121"/>
      <c r="D29" s="121"/>
      <c r="E29" s="121"/>
      <c r="F29" s="375">
        <f>SUM(F27:F28)</f>
        <v>232.3</v>
      </c>
      <c r="G29" s="771"/>
      <c r="H29" s="121"/>
      <c r="I29" s="121"/>
      <c r="J29" s="121"/>
    </row>
    <row r="30" spans="1:10" s="149" customFormat="1">
      <c r="C30" s="121"/>
      <c r="D30" s="121"/>
      <c r="E30" s="121"/>
      <c r="F30" s="140">
        <f>ROUND(F29,1)</f>
        <v>232.3</v>
      </c>
      <c r="G30" s="772" t="s">
        <v>518</v>
      </c>
      <c r="H30" s="121"/>
      <c r="I30" s="121"/>
      <c r="J30" s="121"/>
    </row>
    <row r="31" spans="1:10" s="149" customFormat="1">
      <c r="C31" s="121"/>
      <c r="D31" s="121"/>
      <c r="E31" s="121"/>
      <c r="F31" s="140"/>
      <c r="G31" s="772"/>
      <c r="H31" s="121"/>
      <c r="I31" s="121"/>
      <c r="J31" s="121"/>
    </row>
    <row r="32" spans="1:10" s="149" customFormat="1" ht="25.5">
      <c r="A32" s="133">
        <v>4</v>
      </c>
      <c r="B32" s="129" t="s">
        <v>121</v>
      </c>
      <c r="C32" s="16" t="s">
        <v>130</v>
      </c>
      <c r="D32" s="96"/>
      <c r="E32" s="96"/>
      <c r="F32" s="16"/>
      <c r="G32" s="121"/>
      <c r="H32" s="121"/>
      <c r="I32" s="121"/>
      <c r="J32" s="121"/>
    </row>
    <row r="33" spans="1:10" s="149" customFormat="1">
      <c r="B33" s="129" t="s">
        <v>137</v>
      </c>
      <c r="C33" s="16"/>
      <c r="D33" s="16"/>
      <c r="E33" s="16"/>
      <c r="F33" s="16"/>
      <c r="G33" s="121"/>
      <c r="H33" s="121"/>
      <c r="I33" s="121"/>
      <c r="J33" s="121"/>
    </row>
    <row r="34" spans="1:10" s="149" customFormat="1">
      <c r="B34" s="3" t="s">
        <v>115</v>
      </c>
      <c r="C34" s="16">
        <v>12.36</v>
      </c>
      <c r="D34" s="16" t="s">
        <v>114</v>
      </c>
      <c r="E34" s="16">
        <f>Lead!E48</f>
        <v>200</v>
      </c>
      <c r="F34" s="16">
        <f>E34*C34</f>
        <v>2472</v>
      </c>
      <c r="G34" s="121"/>
      <c r="H34" s="121"/>
      <c r="I34" s="121"/>
      <c r="J34" s="121"/>
    </row>
    <row r="35" spans="1:10" s="149" customFormat="1">
      <c r="B35" s="3" t="s">
        <v>322</v>
      </c>
      <c r="C35" s="16"/>
      <c r="D35" s="16" t="s">
        <v>116</v>
      </c>
      <c r="E35" s="16">
        <f>SUM(F33:F34)</f>
        <v>2472</v>
      </c>
      <c r="F35" s="16">
        <f>E35*0.075</f>
        <v>185.4</v>
      </c>
      <c r="G35" s="121"/>
      <c r="H35" s="121"/>
      <c r="I35" s="121"/>
      <c r="J35" s="121"/>
    </row>
    <row r="36" spans="1:10" s="149" customFormat="1">
      <c r="B36" s="63" t="s">
        <v>323</v>
      </c>
      <c r="C36" s="16"/>
      <c r="D36" s="16" t="s">
        <v>116</v>
      </c>
      <c r="E36" s="16">
        <f>SUM(F33:F34)</f>
        <v>2472</v>
      </c>
      <c r="F36" s="16">
        <f>E36*0.075</f>
        <v>185.4</v>
      </c>
      <c r="G36" s="121"/>
      <c r="H36" s="121"/>
      <c r="I36" s="121"/>
      <c r="J36" s="121"/>
    </row>
    <row r="37" spans="1:10" s="149" customFormat="1">
      <c r="B37" s="129" t="s">
        <v>131</v>
      </c>
      <c r="C37" s="16"/>
      <c r="D37" s="16"/>
      <c r="E37" s="16"/>
      <c r="F37" s="16"/>
      <c r="G37" s="121"/>
      <c r="H37" s="121"/>
      <c r="I37" s="121"/>
      <c r="J37" s="121"/>
    </row>
    <row r="38" spans="1:10" s="149" customFormat="1">
      <c r="B38" s="3" t="s">
        <v>122</v>
      </c>
      <c r="C38" s="16">
        <v>100</v>
      </c>
      <c r="D38" s="16" t="s">
        <v>123</v>
      </c>
      <c r="E38" s="16">
        <f>Lead!E22</f>
        <v>48</v>
      </c>
      <c r="F38" s="16">
        <f>E38*C38</f>
        <v>4800</v>
      </c>
      <c r="G38" s="121"/>
      <c r="H38" s="121"/>
      <c r="I38" s="121"/>
      <c r="J38" s="121"/>
    </row>
    <row r="39" spans="1:10" s="149" customFormat="1">
      <c r="B39" s="99" t="s">
        <v>124</v>
      </c>
      <c r="C39" s="16"/>
      <c r="D39" s="16"/>
      <c r="E39" s="16"/>
      <c r="F39" s="16"/>
      <c r="G39" s="121"/>
      <c r="H39" s="121"/>
      <c r="I39" s="121"/>
      <c r="J39" s="121"/>
    </row>
    <row r="40" spans="1:10" s="149" customFormat="1">
      <c r="B40" s="3" t="s">
        <v>122</v>
      </c>
      <c r="C40" s="16">
        <v>100</v>
      </c>
      <c r="D40" s="16" t="s">
        <v>123</v>
      </c>
      <c r="E40" s="16">
        <f>Lead!J22</f>
        <v>196.4</v>
      </c>
      <c r="F40" s="16">
        <f>E40*C40</f>
        <v>19640</v>
      </c>
      <c r="G40" s="121"/>
      <c r="H40" s="121"/>
      <c r="I40" s="121"/>
      <c r="J40" s="121"/>
    </row>
    <row r="41" spans="1:10" s="149" customFormat="1">
      <c r="B41" s="3" t="s">
        <v>117</v>
      </c>
      <c r="C41" s="16"/>
      <c r="D41" s="16"/>
      <c r="E41" s="16"/>
      <c r="F41" s="16">
        <f>SUM(F34:F40)</f>
        <v>27282.799999999999</v>
      </c>
      <c r="G41" s="121"/>
      <c r="H41" s="121"/>
      <c r="I41" s="121"/>
      <c r="J41" s="121"/>
    </row>
    <row r="42" spans="1:10" s="149" customFormat="1">
      <c r="B42" s="63" t="s">
        <v>177</v>
      </c>
      <c r="C42" s="16"/>
      <c r="D42" s="16"/>
      <c r="E42" s="16"/>
      <c r="F42" s="16">
        <f>F41/100</f>
        <v>272.82799999999997</v>
      </c>
      <c r="G42" s="121"/>
      <c r="H42" s="121"/>
      <c r="I42" s="121"/>
      <c r="J42" s="121"/>
    </row>
    <row r="43" spans="1:10" s="149" customFormat="1">
      <c r="B43" s="15" t="s">
        <v>429</v>
      </c>
      <c r="C43" s="16"/>
      <c r="D43" s="16"/>
      <c r="E43" s="16"/>
      <c r="F43" s="96">
        <f>F42*1%</f>
        <v>2.7282799999999998</v>
      </c>
      <c r="G43" s="121"/>
      <c r="H43" s="121"/>
      <c r="I43" s="121"/>
      <c r="J43" s="121"/>
    </row>
    <row r="44" spans="1:10" s="149" customFormat="1">
      <c r="B44" s="15"/>
      <c r="C44" s="16"/>
      <c r="D44" s="16"/>
      <c r="E44" s="16"/>
      <c r="F44" s="778">
        <f>SUM(F42:F43)</f>
        <v>275.55627999999996</v>
      </c>
      <c r="G44" s="121"/>
      <c r="H44" s="121"/>
      <c r="I44" s="121"/>
      <c r="J44" s="121"/>
    </row>
    <row r="45" spans="1:10" s="149" customFormat="1">
      <c r="B45" s="131"/>
      <c r="C45" s="140"/>
      <c r="D45" s="140"/>
      <c r="E45" s="777" t="s">
        <v>120</v>
      </c>
      <c r="F45" s="777">
        <f>ROUND(F44,1)</f>
        <v>275.60000000000002</v>
      </c>
      <c r="G45" s="121"/>
      <c r="H45" s="121"/>
      <c r="I45" s="121"/>
      <c r="J45" s="121"/>
    </row>
    <row r="46" spans="1:10" s="149" customFormat="1">
      <c r="A46" s="249"/>
      <c r="B46" s="356"/>
      <c r="C46" s="364"/>
      <c r="D46" s="364"/>
      <c r="E46" s="364"/>
      <c r="F46" s="364"/>
      <c r="G46" s="121"/>
      <c r="H46" s="121"/>
      <c r="I46" s="121"/>
      <c r="J46" s="121"/>
    </row>
    <row r="47" spans="1:10" s="149" customFormat="1" ht="38.25">
      <c r="A47" s="133">
        <v>5</v>
      </c>
      <c r="B47" s="377" t="s">
        <v>499</v>
      </c>
      <c r="C47" s="121"/>
      <c r="D47" s="121"/>
      <c r="E47" s="121"/>
      <c r="F47" s="121"/>
      <c r="G47" s="121"/>
      <c r="H47" s="121"/>
      <c r="I47" s="121"/>
      <c r="J47" s="121"/>
    </row>
    <row r="48" spans="1:10" s="149" customFormat="1">
      <c r="B48" s="149" t="s">
        <v>500</v>
      </c>
      <c r="C48" s="121"/>
      <c r="D48" s="121"/>
      <c r="E48" s="121"/>
      <c r="F48" s="121"/>
      <c r="G48" s="121"/>
      <c r="H48" s="121"/>
      <c r="I48" s="121"/>
      <c r="J48" s="121"/>
    </row>
    <row r="49" spans="1:10" s="149" customFormat="1">
      <c r="A49" s="4" t="s">
        <v>37</v>
      </c>
      <c r="B49" s="149" t="s">
        <v>501</v>
      </c>
      <c r="C49" s="121"/>
      <c r="D49" s="121"/>
      <c r="E49" s="121"/>
      <c r="F49" s="121"/>
      <c r="G49" s="121"/>
      <c r="H49" s="121"/>
      <c r="I49" s="121"/>
      <c r="J49" s="121"/>
    </row>
    <row r="50" spans="1:10" s="149" customFormat="1">
      <c r="B50" s="36" t="s">
        <v>502</v>
      </c>
      <c r="C50" s="121"/>
      <c r="D50" s="121"/>
      <c r="E50" s="121"/>
      <c r="F50" s="121"/>
      <c r="G50" s="121"/>
      <c r="H50" s="121"/>
      <c r="I50" s="121"/>
      <c r="J50" s="121"/>
    </row>
    <row r="51" spans="1:10" s="149" customFormat="1">
      <c r="B51" s="149" t="s">
        <v>503</v>
      </c>
      <c r="C51" s="120">
        <v>8.1</v>
      </c>
      <c r="D51" s="121" t="s">
        <v>432</v>
      </c>
      <c r="E51" s="120">
        <f>Lead!E8</f>
        <v>1139</v>
      </c>
      <c r="F51" s="120">
        <f>E51*C51</f>
        <v>9225.9</v>
      </c>
      <c r="G51" s="121"/>
      <c r="H51" s="121"/>
      <c r="I51" s="121"/>
      <c r="J51" s="121"/>
    </row>
    <row r="52" spans="1:10" s="149" customFormat="1">
      <c r="B52" s="149" t="s">
        <v>504</v>
      </c>
      <c r="C52" s="120">
        <v>5.4</v>
      </c>
      <c r="D52" s="121" t="s">
        <v>432</v>
      </c>
      <c r="E52" s="120">
        <f>Lead!E14</f>
        <v>1215</v>
      </c>
      <c r="F52" s="120">
        <f>E52*C52</f>
        <v>6561</v>
      </c>
      <c r="G52" s="121"/>
      <c r="H52" s="121"/>
      <c r="I52" s="121"/>
      <c r="J52" s="121"/>
    </row>
    <row r="53" spans="1:10" s="149" customFormat="1">
      <c r="B53" s="149" t="s">
        <v>162</v>
      </c>
      <c r="C53" s="120">
        <v>6.75</v>
      </c>
      <c r="D53" s="121" t="s">
        <v>432</v>
      </c>
      <c r="E53" s="120">
        <f>Lead!E20</f>
        <v>55</v>
      </c>
      <c r="F53" s="120">
        <f>E53*C53</f>
        <v>371.25</v>
      </c>
      <c r="G53" s="121"/>
      <c r="H53" s="121"/>
      <c r="I53" s="121"/>
      <c r="J53" s="121"/>
    </row>
    <row r="54" spans="1:10" s="149" customFormat="1">
      <c r="B54" s="149" t="s">
        <v>178</v>
      </c>
      <c r="C54" s="120">
        <v>52.1</v>
      </c>
      <c r="D54" s="121" t="s">
        <v>420</v>
      </c>
      <c r="E54" s="120">
        <f>Lead!E29</f>
        <v>650</v>
      </c>
      <c r="F54" s="120">
        <f>E54*C54</f>
        <v>33865</v>
      </c>
      <c r="G54" s="121"/>
      <c r="H54" s="121"/>
      <c r="I54" s="121"/>
      <c r="J54" s="121"/>
    </row>
    <row r="55" spans="1:10" s="149" customFormat="1">
      <c r="B55" s="36" t="s">
        <v>505</v>
      </c>
      <c r="C55" s="121"/>
      <c r="D55" s="121"/>
      <c r="E55" s="121"/>
      <c r="F55" s="120"/>
      <c r="G55" s="121"/>
      <c r="H55" s="121"/>
      <c r="I55" s="121"/>
      <c r="J55" s="121"/>
    </row>
    <row r="56" spans="1:10" s="149" customFormat="1">
      <c r="B56" s="149" t="s">
        <v>26</v>
      </c>
      <c r="C56" s="120">
        <v>0.86</v>
      </c>
      <c r="D56" s="121" t="s">
        <v>506</v>
      </c>
      <c r="E56" s="120">
        <f>Lead!E54</f>
        <v>220</v>
      </c>
      <c r="F56" s="120">
        <f>E56*C56</f>
        <v>189.2</v>
      </c>
      <c r="G56" s="121"/>
      <c r="H56" s="121"/>
      <c r="I56" s="121"/>
      <c r="J56" s="121"/>
    </row>
    <row r="57" spans="1:10" s="149" customFormat="1">
      <c r="B57" s="149" t="s">
        <v>138</v>
      </c>
      <c r="C57" s="120">
        <v>1.5</v>
      </c>
      <c r="D57" s="121" t="s">
        <v>506</v>
      </c>
      <c r="E57" s="120">
        <f>Lead!E58</f>
        <v>240</v>
      </c>
      <c r="F57" s="120">
        <f>E57*C57</f>
        <v>360</v>
      </c>
      <c r="G57" s="121"/>
      <c r="H57" s="121"/>
      <c r="I57" s="121"/>
      <c r="J57" s="121"/>
    </row>
    <row r="58" spans="1:10" s="149" customFormat="1">
      <c r="B58" s="149" t="s">
        <v>507</v>
      </c>
      <c r="C58" s="120">
        <v>20</v>
      </c>
      <c r="D58" s="121" t="s">
        <v>506</v>
      </c>
      <c r="E58" s="120">
        <f>Lead!E47</f>
        <v>200</v>
      </c>
      <c r="F58" s="120">
        <f>E58*C58</f>
        <v>4000</v>
      </c>
      <c r="G58" s="120"/>
      <c r="H58" s="121"/>
      <c r="I58" s="121"/>
      <c r="J58" s="121"/>
    </row>
    <row r="59" spans="1:10" s="149" customFormat="1">
      <c r="B59" s="36" t="s">
        <v>508</v>
      </c>
      <c r="C59" s="121"/>
      <c r="D59" s="121"/>
      <c r="E59" s="121"/>
      <c r="F59" s="120"/>
      <c r="G59" s="120"/>
      <c r="H59" s="121"/>
      <c r="I59" s="121"/>
      <c r="J59" s="121"/>
    </row>
    <row r="60" spans="1:10" s="149" customFormat="1">
      <c r="B60" s="149" t="s">
        <v>509</v>
      </c>
      <c r="C60" s="120">
        <v>6</v>
      </c>
      <c r="D60" s="121" t="s">
        <v>510</v>
      </c>
      <c r="E60" s="120">
        <f>Lead!E75</f>
        <v>177</v>
      </c>
      <c r="F60" s="120">
        <f>E60*C60</f>
        <v>1062</v>
      </c>
      <c r="G60" s="121"/>
      <c r="H60" s="121"/>
      <c r="I60" s="121"/>
      <c r="J60" s="121"/>
    </row>
    <row r="61" spans="1:10" s="149" customFormat="1">
      <c r="B61" s="149" t="s">
        <v>511</v>
      </c>
      <c r="C61" s="120">
        <v>6</v>
      </c>
      <c r="D61" s="121" t="s">
        <v>510</v>
      </c>
      <c r="E61" s="120">
        <f>Lead!J75</f>
        <v>240</v>
      </c>
      <c r="F61" s="120">
        <f>E61*C61</f>
        <v>1440</v>
      </c>
      <c r="G61" s="121"/>
      <c r="H61" s="121"/>
      <c r="I61" s="121"/>
      <c r="J61" s="121"/>
    </row>
    <row r="62" spans="1:10" s="149" customFormat="1">
      <c r="C62" s="120"/>
      <c r="D62" s="121"/>
      <c r="E62" s="120"/>
      <c r="F62" s="378">
        <f>SUM(F51:F61)</f>
        <v>57074.35</v>
      </c>
      <c r="G62" s="121"/>
      <c r="H62" s="121"/>
      <c r="I62" s="121"/>
      <c r="J62" s="121"/>
    </row>
    <row r="63" spans="1:10" s="149" customFormat="1">
      <c r="B63" s="149" t="s">
        <v>512</v>
      </c>
      <c r="C63" s="120"/>
      <c r="D63" s="121"/>
      <c r="E63" s="120"/>
      <c r="F63" s="120">
        <f>F62*7.5%</f>
        <v>4280.5762500000001</v>
      </c>
      <c r="G63" s="121"/>
      <c r="H63" s="121"/>
      <c r="I63" s="121"/>
      <c r="J63" s="121"/>
    </row>
    <row r="64" spans="1:10" s="149" customFormat="1">
      <c r="B64" s="149" t="s">
        <v>498</v>
      </c>
      <c r="C64" s="120"/>
      <c r="D64" s="121"/>
      <c r="E64" s="120"/>
      <c r="F64" s="120">
        <f>F62*7.5%</f>
        <v>4280.5762500000001</v>
      </c>
      <c r="G64" s="121"/>
      <c r="H64" s="121"/>
      <c r="I64" s="121"/>
      <c r="J64" s="121"/>
    </row>
    <row r="65" spans="1:10" s="149" customFormat="1">
      <c r="C65" s="120"/>
      <c r="D65" s="121"/>
      <c r="E65" s="120"/>
      <c r="F65" s="378">
        <f>SUM(F62:F64)</f>
        <v>65635.502500000002</v>
      </c>
      <c r="G65" s="121"/>
      <c r="H65" s="121"/>
      <c r="I65" s="121"/>
      <c r="J65" s="121"/>
    </row>
    <row r="66" spans="1:10" s="149" customFormat="1">
      <c r="B66" s="36" t="s">
        <v>1041</v>
      </c>
      <c r="C66" s="121"/>
      <c r="D66" s="121"/>
      <c r="E66" s="121"/>
      <c r="F66" s="120"/>
      <c r="G66" s="121"/>
      <c r="H66" s="121"/>
      <c r="I66" s="121"/>
      <c r="J66" s="121"/>
    </row>
    <row r="67" spans="1:10" s="149" customFormat="1">
      <c r="B67" s="1115" t="s">
        <v>503</v>
      </c>
      <c r="C67" s="1116">
        <f>C51</f>
        <v>8.1</v>
      </c>
      <c r="D67" s="1117" t="s">
        <v>432</v>
      </c>
      <c r="E67" s="1116">
        <f>Lead!J8</f>
        <v>850.4</v>
      </c>
      <c r="F67" s="1116">
        <f>E67*C67</f>
        <v>6888.24</v>
      </c>
      <c r="G67" s="121"/>
      <c r="H67" s="121"/>
      <c r="I67" s="121"/>
      <c r="J67" s="121"/>
    </row>
    <row r="68" spans="1:10" s="149" customFormat="1">
      <c r="B68" s="1115" t="s">
        <v>504</v>
      </c>
      <c r="C68" s="1116">
        <f>C52</f>
        <v>5.4</v>
      </c>
      <c r="D68" s="1117" t="s">
        <v>432</v>
      </c>
      <c r="E68" s="1116">
        <f>Lead!J14</f>
        <v>850.4</v>
      </c>
      <c r="F68" s="1116">
        <f>E68*C68</f>
        <v>4592.16</v>
      </c>
      <c r="G68" s="121"/>
      <c r="H68" s="121"/>
      <c r="I68" s="121"/>
      <c r="J68" s="121"/>
    </row>
    <row r="69" spans="1:10" s="149" customFormat="1">
      <c r="B69" s="149" t="s">
        <v>162</v>
      </c>
      <c r="C69" s="120">
        <v>6.75</v>
      </c>
      <c r="D69" s="121" t="s">
        <v>432</v>
      </c>
      <c r="E69" s="120">
        <f>Lead!J20</f>
        <v>196.4</v>
      </c>
      <c r="F69" s="120">
        <f>E69*C69</f>
        <v>1325.7</v>
      </c>
      <c r="G69" s="121"/>
      <c r="H69" s="121"/>
      <c r="I69" s="121"/>
      <c r="J69" s="121"/>
    </row>
    <row r="70" spans="1:10" s="149" customFormat="1">
      <c r="B70" s="149" t="s">
        <v>178</v>
      </c>
      <c r="C70" s="120">
        <v>52.1</v>
      </c>
      <c r="D70" s="121" t="s">
        <v>420</v>
      </c>
      <c r="E70" s="120">
        <f>Lead!J29</f>
        <v>16.899999999999999</v>
      </c>
      <c r="F70" s="120">
        <f>E70*C70</f>
        <v>880.4899999999999</v>
      </c>
      <c r="G70" s="121"/>
      <c r="H70" s="121"/>
      <c r="I70" s="121"/>
      <c r="J70" s="121"/>
    </row>
    <row r="71" spans="1:10" s="149" customFormat="1">
      <c r="C71" s="120"/>
      <c r="D71" s="121"/>
      <c r="E71" s="120"/>
      <c r="F71" s="378">
        <f>SUM(F65:F70)</f>
        <v>79322.092500000013</v>
      </c>
      <c r="G71" s="121" t="s">
        <v>514</v>
      </c>
      <c r="H71" s="121"/>
      <c r="I71" s="121"/>
      <c r="J71" s="121"/>
    </row>
    <row r="72" spans="1:10" s="149" customFormat="1">
      <c r="C72" s="120"/>
      <c r="D72" s="121"/>
      <c r="E72" s="120"/>
      <c r="F72" s="120">
        <f>F71/15</f>
        <v>5288.1395000000011</v>
      </c>
      <c r="G72" s="121" t="s">
        <v>433</v>
      </c>
      <c r="H72" s="121"/>
      <c r="I72" s="121"/>
      <c r="J72" s="121"/>
    </row>
    <row r="73" spans="1:10" s="149" customFormat="1">
      <c r="B73" s="149" t="s">
        <v>515</v>
      </c>
      <c r="C73" s="120"/>
      <c r="D73" s="121"/>
      <c r="E73" s="120"/>
      <c r="F73" s="120">
        <f>F72*1%</f>
        <v>52.881395000000012</v>
      </c>
      <c r="G73" s="121"/>
      <c r="H73" s="121"/>
      <c r="I73" s="121"/>
      <c r="J73" s="121"/>
    </row>
    <row r="74" spans="1:10" s="149" customFormat="1">
      <c r="B74" s="149" t="s">
        <v>117</v>
      </c>
      <c r="C74" s="120"/>
      <c r="D74" s="121"/>
      <c r="E74" s="140" t="s">
        <v>426</v>
      </c>
      <c r="F74" s="378">
        <f>SUM(F72:F73)</f>
        <v>5341.0208950000015</v>
      </c>
      <c r="G74" s="121" t="s">
        <v>433</v>
      </c>
      <c r="H74" s="121"/>
      <c r="I74" s="121"/>
      <c r="J74" s="121"/>
    </row>
    <row r="75" spans="1:10" s="149" customFormat="1">
      <c r="C75" s="120"/>
      <c r="D75" s="121"/>
      <c r="E75" s="140" t="s">
        <v>1048</v>
      </c>
      <c r="F75" s="140">
        <f>ROUND(F74,0)</f>
        <v>5341</v>
      </c>
      <c r="G75" s="135" t="s">
        <v>433</v>
      </c>
      <c r="H75" s="121"/>
      <c r="I75" s="121"/>
      <c r="J75" s="121"/>
    </row>
    <row r="76" spans="1:10" s="149" customFormat="1">
      <c r="C76" s="121"/>
      <c r="D76" s="121"/>
      <c r="E76" s="121"/>
      <c r="F76" s="121"/>
      <c r="G76" s="121"/>
      <c r="H76" s="121"/>
      <c r="I76" s="121"/>
      <c r="J76" s="121"/>
    </row>
    <row r="77" spans="1:10" s="20" customFormat="1">
      <c r="A77" s="5" t="s">
        <v>38</v>
      </c>
      <c r="B77" s="15" t="s">
        <v>71</v>
      </c>
      <c r="C77" s="96" t="s">
        <v>130</v>
      </c>
      <c r="D77" s="96"/>
      <c r="E77" s="96"/>
      <c r="F77" s="16"/>
      <c r="G77" s="4"/>
      <c r="H77" s="4"/>
    </row>
    <row r="78" spans="1:10" s="20" customFormat="1">
      <c r="A78" s="5"/>
      <c r="B78" s="15" t="s">
        <v>268</v>
      </c>
      <c r="C78" s="16"/>
      <c r="D78" s="96"/>
      <c r="E78" s="96"/>
      <c r="F78" s="96">
        <f>F75</f>
        <v>5341</v>
      </c>
      <c r="G78" s="4"/>
      <c r="H78" s="57"/>
    </row>
    <row r="79" spans="1:10" s="20" customFormat="1">
      <c r="A79" s="5"/>
      <c r="B79" s="62" t="s">
        <v>275</v>
      </c>
      <c r="C79" s="16"/>
      <c r="D79" s="4"/>
      <c r="E79" s="97">
        <f>(((F56+F57+F58)+(F56+F57+F58)*0.15)/15)</f>
        <v>348.77199999999999</v>
      </c>
      <c r="F79" s="97">
        <f>E79*0.15</f>
        <v>52.315799999999996</v>
      </c>
      <c r="G79" s="4"/>
      <c r="H79" s="57"/>
    </row>
    <row r="80" spans="1:10" s="20" customFormat="1">
      <c r="A80" s="5"/>
      <c r="B80" s="63" t="s">
        <v>119</v>
      </c>
      <c r="C80" s="16"/>
      <c r="D80" s="16"/>
      <c r="E80" s="16"/>
      <c r="F80" s="16">
        <f>SUM(F78:F79)</f>
        <v>5393.3158000000003</v>
      </c>
      <c r="G80" s="4"/>
      <c r="H80" s="16"/>
    </row>
    <row r="81" spans="1:10" s="20" customFormat="1">
      <c r="A81" s="5"/>
      <c r="B81" s="45"/>
      <c r="C81" s="777"/>
      <c r="D81" s="777"/>
      <c r="E81" s="777" t="s">
        <v>120</v>
      </c>
      <c r="F81" s="777">
        <f>ROUND(F80,1)</f>
        <v>5393.3</v>
      </c>
      <c r="G81" s="135" t="s">
        <v>433</v>
      </c>
      <c r="H81" s="773"/>
    </row>
    <row r="82" spans="1:10" s="20" customFormat="1">
      <c r="A82" s="5" t="s">
        <v>39</v>
      </c>
      <c r="B82" s="15" t="s">
        <v>267</v>
      </c>
      <c r="C82" s="96" t="s">
        <v>130</v>
      </c>
      <c r="D82" s="96"/>
      <c r="E82" s="777"/>
      <c r="F82" s="777"/>
      <c r="G82" s="4"/>
      <c r="H82" s="4"/>
      <c r="I82" s="116"/>
    </row>
    <row r="83" spans="1:10" s="20" customFormat="1">
      <c r="A83" s="5"/>
      <c r="B83" s="15" t="s">
        <v>317</v>
      </c>
      <c r="C83" s="16"/>
      <c r="D83" s="96"/>
      <c r="E83" s="96"/>
      <c r="F83" s="96">
        <f>F80</f>
        <v>5393.3158000000003</v>
      </c>
      <c r="G83" s="16"/>
      <c r="H83" s="4"/>
    </row>
    <row r="84" spans="1:10" s="20" customFormat="1">
      <c r="A84" s="5"/>
      <c r="B84" s="62" t="s">
        <v>276</v>
      </c>
      <c r="C84" s="16"/>
      <c r="D84" s="16"/>
      <c r="E84" s="16">
        <f>E79+F79</f>
        <v>401.08780000000002</v>
      </c>
      <c r="F84" s="97">
        <f>E84*0.15</f>
        <v>60.163170000000001</v>
      </c>
      <c r="G84" s="97"/>
      <c r="H84" s="4"/>
      <c r="I84" s="116"/>
    </row>
    <row r="85" spans="1:10" s="20" customFormat="1">
      <c r="A85" s="5"/>
      <c r="B85" s="63" t="s">
        <v>119</v>
      </c>
      <c r="C85" s="16"/>
      <c r="D85" s="16"/>
      <c r="E85" s="16"/>
      <c r="F85" s="16">
        <f>SUM(F83:F84)</f>
        <v>5453.4789700000001</v>
      </c>
      <c r="G85" s="16"/>
      <c r="H85" s="16"/>
    </row>
    <row r="86" spans="1:10" s="20" customFormat="1">
      <c r="A86" s="5"/>
      <c r="B86" s="45"/>
      <c r="C86" s="777"/>
      <c r="D86" s="777"/>
      <c r="E86" s="777" t="s">
        <v>120</v>
      </c>
      <c r="F86" s="777">
        <f>ROUND(F85,1)</f>
        <v>5453.5</v>
      </c>
      <c r="G86" s="135" t="s">
        <v>433</v>
      </c>
      <c r="H86" s="16"/>
      <c r="I86" s="50"/>
    </row>
    <row r="87" spans="1:10" s="20" customFormat="1">
      <c r="A87" s="5"/>
      <c r="B87" s="45"/>
      <c r="C87" s="777"/>
      <c r="D87" s="777"/>
      <c r="E87" s="777"/>
      <c r="F87" s="777"/>
      <c r="G87" s="4"/>
      <c r="H87" s="16"/>
      <c r="I87" s="50"/>
    </row>
    <row r="88" spans="1:10" s="149" customFormat="1" ht="25.5">
      <c r="A88" s="133">
        <v>6</v>
      </c>
      <c r="B88" s="99" t="s">
        <v>129</v>
      </c>
      <c r="C88" s="96" t="s">
        <v>130</v>
      </c>
      <c r="D88" s="96"/>
      <c r="E88" s="96"/>
      <c r="F88" s="16"/>
      <c r="G88" s="121"/>
      <c r="H88" s="121"/>
      <c r="I88" s="121"/>
      <c r="J88" s="121"/>
    </row>
    <row r="89" spans="1:10" s="149" customFormat="1">
      <c r="B89" s="99" t="s">
        <v>131</v>
      </c>
      <c r="C89" s="16"/>
      <c r="D89" s="16"/>
      <c r="E89" s="16"/>
      <c r="F89" s="16"/>
      <c r="G89" s="121"/>
      <c r="H89" s="121"/>
      <c r="I89" s="121"/>
      <c r="J89" s="121"/>
    </row>
    <row r="90" spans="1:10" s="149" customFormat="1">
      <c r="B90" s="15" t="s">
        <v>132</v>
      </c>
      <c r="C90" s="96" t="s">
        <v>133</v>
      </c>
      <c r="D90" s="96" t="s">
        <v>123</v>
      </c>
      <c r="E90" s="96">
        <f>Lead!E5</f>
        <v>780</v>
      </c>
      <c r="F90" s="96">
        <f>E90*C90</f>
        <v>748.8</v>
      </c>
      <c r="G90" s="121"/>
      <c r="H90" s="121"/>
      <c r="I90" s="121"/>
      <c r="J90" s="121"/>
    </row>
    <row r="91" spans="1:10" s="149" customFormat="1">
      <c r="B91" s="15" t="s">
        <v>134</v>
      </c>
      <c r="C91" s="96" t="s">
        <v>135</v>
      </c>
      <c r="D91" s="96" t="s">
        <v>123</v>
      </c>
      <c r="E91" s="96">
        <f>Lead!E20</f>
        <v>55</v>
      </c>
      <c r="F91" s="96">
        <f>E91*C91</f>
        <v>26.4</v>
      </c>
      <c r="G91" s="121"/>
      <c r="H91" s="121"/>
      <c r="I91" s="121"/>
      <c r="J91" s="121"/>
    </row>
    <row r="92" spans="1:10" s="149" customFormat="1">
      <c r="B92" s="15" t="s">
        <v>136</v>
      </c>
      <c r="C92" s="96">
        <v>1.72</v>
      </c>
      <c r="D92" s="96" t="s">
        <v>127</v>
      </c>
      <c r="E92" s="96">
        <f>Lead!E29</f>
        <v>650</v>
      </c>
      <c r="F92" s="96">
        <f>E92*C92</f>
        <v>1118</v>
      </c>
      <c r="G92" s="121"/>
      <c r="H92" s="121"/>
      <c r="I92" s="121"/>
      <c r="J92" s="121"/>
    </row>
    <row r="93" spans="1:10" s="149" customFormat="1">
      <c r="B93" s="99" t="s">
        <v>137</v>
      </c>
      <c r="C93" s="16"/>
      <c r="D93" s="16"/>
      <c r="E93" s="16"/>
      <c r="F93" s="16"/>
      <c r="G93" s="121"/>
      <c r="H93" s="121"/>
      <c r="I93" s="121"/>
      <c r="J93" s="121"/>
    </row>
    <row r="94" spans="1:10" s="149" customFormat="1">
      <c r="B94" s="15" t="s">
        <v>138</v>
      </c>
      <c r="C94" s="96" t="s">
        <v>139</v>
      </c>
      <c r="D94" s="96" t="s">
        <v>114</v>
      </c>
      <c r="E94" s="96">
        <f>Lead!E58</f>
        <v>240</v>
      </c>
      <c r="F94" s="96">
        <f>E94*C94</f>
        <v>43.199999999999996</v>
      </c>
      <c r="G94" s="121"/>
      <c r="H94" s="121"/>
      <c r="I94" s="121"/>
      <c r="J94" s="121"/>
    </row>
    <row r="95" spans="1:10" s="149" customFormat="1">
      <c r="B95" s="15" t="s">
        <v>113</v>
      </c>
      <c r="C95" s="96">
        <v>1.8</v>
      </c>
      <c r="D95" s="96" t="s">
        <v>114</v>
      </c>
      <c r="E95" s="96">
        <f>Lead!E47</f>
        <v>200</v>
      </c>
      <c r="F95" s="96">
        <f>E95*C95</f>
        <v>360</v>
      </c>
      <c r="G95" s="121"/>
      <c r="H95" s="121"/>
      <c r="I95" s="121"/>
      <c r="J95" s="121"/>
    </row>
    <row r="96" spans="1:10" s="149" customFormat="1">
      <c r="B96" s="15" t="s">
        <v>115</v>
      </c>
      <c r="C96" s="96" t="s">
        <v>140</v>
      </c>
      <c r="D96" s="96" t="s">
        <v>114</v>
      </c>
      <c r="E96" s="96">
        <f>Lead!E48</f>
        <v>200</v>
      </c>
      <c r="F96" s="96">
        <f>E96*C96</f>
        <v>280</v>
      </c>
      <c r="G96" s="121"/>
      <c r="H96" s="121"/>
      <c r="I96" s="121"/>
      <c r="J96" s="121"/>
    </row>
    <row r="97" spans="1:10" s="149" customFormat="1" ht="25.5">
      <c r="B97" s="15" t="s">
        <v>156</v>
      </c>
      <c r="C97" s="96">
        <v>0.7</v>
      </c>
      <c r="D97" s="96" t="s">
        <v>114</v>
      </c>
      <c r="E97" s="96">
        <f>E96</f>
        <v>200</v>
      </c>
      <c r="F97" s="96">
        <f>E97*C97</f>
        <v>140</v>
      </c>
      <c r="G97" s="121"/>
      <c r="H97" s="121"/>
      <c r="I97" s="121"/>
      <c r="J97" s="121"/>
    </row>
    <row r="98" spans="1:10" s="149" customFormat="1">
      <c r="B98" s="3" t="s">
        <v>322</v>
      </c>
      <c r="C98" s="16"/>
      <c r="D98" s="16" t="s">
        <v>116</v>
      </c>
      <c r="E98" s="16">
        <f>SUM(F90:F97)</f>
        <v>2716.3999999999996</v>
      </c>
      <c r="F98" s="16">
        <f>E98*0.075</f>
        <v>203.72999999999996</v>
      </c>
      <c r="G98" s="121"/>
      <c r="H98" s="121"/>
      <c r="I98" s="121"/>
      <c r="J98" s="121"/>
    </row>
    <row r="99" spans="1:10" s="149" customFormat="1">
      <c r="B99" s="63" t="s">
        <v>323</v>
      </c>
      <c r="C99" s="16"/>
      <c r="D99" s="16" t="s">
        <v>116</v>
      </c>
      <c r="E99" s="16">
        <f>SUM(F90:F97)</f>
        <v>2716.3999999999996</v>
      </c>
      <c r="F99" s="16">
        <f>E99*0.075</f>
        <v>203.72999999999996</v>
      </c>
      <c r="G99" s="121"/>
      <c r="H99" s="121"/>
      <c r="I99" s="121"/>
      <c r="J99" s="121"/>
    </row>
    <row r="100" spans="1:10" s="149" customFormat="1">
      <c r="B100" s="99" t="s">
        <v>124</v>
      </c>
      <c r="C100" s="16"/>
      <c r="D100" s="16"/>
      <c r="E100" s="16"/>
      <c r="F100" s="16"/>
      <c r="G100" s="121"/>
      <c r="H100" s="121"/>
      <c r="I100" s="121"/>
      <c r="J100" s="121"/>
    </row>
    <row r="101" spans="1:10" s="149" customFormat="1">
      <c r="B101" s="15" t="s">
        <v>132</v>
      </c>
      <c r="C101" s="96" t="s">
        <v>133</v>
      </c>
      <c r="D101" s="96" t="s">
        <v>123</v>
      </c>
      <c r="E101" s="96">
        <f>Lead!J5</f>
        <v>335.2</v>
      </c>
      <c r="F101" s="96">
        <f>E101*C101</f>
        <v>321.79199999999997</v>
      </c>
      <c r="G101" s="121"/>
      <c r="H101" s="121"/>
      <c r="I101" s="121"/>
      <c r="J101" s="121"/>
    </row>
    <row r="102" spans="1:10" s="149" customFormat="1">
      <c r="B102" s="15" t="s">
        <v>134</v>
      </c>
      <c r="C102" s="96" t="s">
        <v>135</v>
      </c>
      <c r="D102" s="96" t="s">
        <v>123</v>
      </c>
      <c r="E102" s="96">
        <f>Lead!J20</f>
        <v>196.4</v>
      </c>
      <c r="F102" s="96">
        <f>E102*C102</f>
        <v>94.272000000000006</v>
      </c>
      <c r="G102" s="121"/>
      <c r="H102" s="121"/>
      <c r="I102" s="121"/>
      <c r="J102" s="121"/>
    </row>
    <row r="103" spans="1:10" s="149" customFormat="1">
      <c r="B103" s="15" t="s">
        <v>136</v>
      </c>
      <c r="C103" s="96">
        <v>1.72</v>
      </c>
      <c r="D103" s="96" t="s">
        <v>127</v>
      </c>
      <c r="E103" s="96">
        <f>Lead!J29</f>
        <v>16.899999999999999</v>
      </c>
      <c r="F103" s="779">
        <f>E103*C103</f>
        <v>29.067999999999998</v>
      </c>
      <c r="G103" s="121"/>
      <c r="H103" s="121"/>
      <c r="I103" s="121"/>
      <c r="J103" s="121"/>
    </row>
    <row r="104" spans="1:10" s="149" customFormat="1">
      <c r="B104" s="15" t="s">
        <v>117</v>
      </c>
      <c r="C104" s="16"/>
      <c r="D104" s="16"/>
      <c r="E104" s="16"/>
      <c r="F104" s="96">
        <f>SUM(F90:F103)</f>
        <v>3568.9919999999997</v>
      </c>
      <c r="G104" s="121"/>
      <c r="H104" s="121"/>
      <c r="I104" s="121"/>
      <c r="J104" s="121"/>
    </row>
    <row r="105" spans="1:10" s="149" customFormat="1">
      <c r="B105" s="15" t="s">
        <v>429</v>
      </c>
      <c r="C105" s="16"/>
      <c r="D105" s="16"/>
      <c r="E105" s="16"/>
      <c r="F105" s="96">
        <f>F104*1%</f>
        <v>35.689920000000001</v>
      </c>
      <c r="G105" s="121"/>
      <c r="H105" s="121"/>
      <c r="I105" s="121"/>
      <c r="J105" s="121"/>
    </row>
    <row r="106" spans="1:10" s="149" customFormat="1">
      <c r="B106" s="15"/>
      <c r="C106" s="16"/>
      <c r="D106" s="16"/>
      <c r="E106" s="16"/>
      <c r="F106" s="778">
        <f>SUM(F104:F105)</f>
        <v>3604.6819199999995</v>
      </c>
      <c r="G106" s="121"/>
      <c r="H106" s="121"/>
      <c r="I106" s="121"/>
      <c r="J106" s="121"/>
    </row>
    <row r="107" spans="1:10" s="149" customFormat="1">
      <c r="B107" s="45"/>
      <c r="C107" s="777"/>
      <c r="D107" s="777"/>
      <c r="E107" s="777" t="s">
        <v>120</v>
      </c>
      <c r="F107" s="777">
        <f>ROUND(F106,1)</f>
        <v>3604.7</v>
      </c>
      <c r="G107" s="121"/>
      <c r="H107" s="121"/>
      <c r="I107" s="121"/>
      <c r="J107" s="121"/>
    </row>
    <row r="108" spans="1:10" s="149" customFormat="1" ht="25.5">
      <c r="A108" s="133">
        <v>7</v>
      </c>
      <c r="B108" s="99" t="s">
        <v>35</v>
      </c>
      <c r="C108" s="96" t="s">
        <v>130</v>
      </c>
      <c r="D108" s="96"/>
      <c r="E108" s="96"/>
      <c r="F108" s="16"/>
      <c r="G108" s="121"/>
      <c r="H108" s="121"/>
      <c r="I108" s="121"/>
      <c r="J108" s="121"/>
    </row>
    <row r="109" spans="1:10" s="149" customFormat="1">
      <c r="B109" s="99" t="s">
        <v>131</v>
      </c>
      <c r="C109" s="16"/>
      <c r="D109" s="16"/>
      <c r="E109" s="16"/>
      <c r="F109" s="16"/>
      <c r="G109" s="121"/>
      <c r="H109" s="121"/>
      <c r="I109" s="121"/>
      <c r="J109" s="121"/>
    </row>
    <row r="110" spans="1:10" s="149" customFormat="1">
      <c r="B110" s="15" t="s">
        <v>132</v>
      </c>
      <c r="C110" s="96" t="s">
        <v>133</v>
      </c>
      <c r="D110" s="96" t="s">
        <v>123</v>
      </c>
      <c r="E110" s="96">
        <f>Lead!E5</f>
        <v>780</v>
      </c>
      <c r="F110" s="96">
        <f>E110*C110</f>
        <v>748.8</v>
      </c>
      <c r="G110" s="121"/>
      <c r="H110" s="121"/>
      <c r="I110" s="121"/>
      <c r="J110" s="121"/>
    </row>
    <row r="111" spans="1:10" s="149" customFormat="1">
      <c r="B111" s="15" t="s">
        <v>134</v>
      </c>
      <c r="C111" s="96" t="s">
        <v>135</v>
      </c>
      <c r="D111" s="96" t="s">
        <v>123</v>
      </c>
      <c r="E111" s="96">
        <f>Lead!E20</f>
        <v>55</v>
      </c>
      <c r="F111" s="96">
        <f>E111*C111</f>
        <v>26.4</v>
      </c>
      <c r="G111" s="121"/>
      <c r="H111" s="121"/>
      <c r="I111" s="121"/>
      <c r="J111" s="121"/>
    </row>
    <row r="112" spans="1:10" s="149" customFormat="1">
      <c r="B112" s="15" t="s">
        <v>136</v>
      </c>
      <c r="C112" s="96">
        <v>2.29</v>
      </c>
      <c r="D112" s="96" t="s">
        <v>127</v>
      </c>
      <c r="E112" s="96">
        <f>Lead!E29</f>
        <v>650</v>
      </c>
      <c r="F112" s="96">
        <f>E112*C112</f>
        <v>1488.5</v>
      </c>
      <c r="G112" s="121"/>
      <c r="H112" s="121"/>
      <c r="I112" s="121"/>
      <c r="J112" s="121"/>
    </row>
    <row r="113" spans="2:10" s="149" customFormat="1">
      <c r="B113" s="99" t="s">
        <v>137</v>
      </c>
      <c r="C113" s="16"/>
      <c r="D113" s="16"/>
      <c r="E113" s="16"/>
      <c r="F113" s="16"/>
      <c r="G113" s="121"/>
      <c r="H113" s="121"/>
      <c r="I113" s="121"/>
      <c r="J113" s="121"/>
    </row>
    <row r="114" spans="2:10" s="149" customFormat="1">
      <c r="B114" s="15" t="s">
        <v>138</v>
      </c>
      <c r="C114" s="96" t="s">
        <v>139</v>
      </c>
      <c r="D114" s="96" t="s">
        <v>114</v>
      </c>
      <c r="E114" s="96">
        <f>Lead!E58</f>
        <v>240</v>
      </c>
      <c r="F114" s="96">
        <f>E114*C114</f>
        <v>43.199999999999996</v>
      </c>
      <c r="G114" s="121"/>
      <c r="H114" s="121"/>
      <c r="I114" s="121"/>
      <c r="J114" s="121"/>
    </row>
    <row r="115" spans="2:10" s="149" customFormat="1">
      <c r="B115" s="15" t="s">
        <v>113</v>
      </c>
      <c r="C115" s="96">
        <v>1.8</v>
      </c>
      <c r="D115" s="96" t="s">
        <v>114</v>
      </c>
      <c r="E115" s="96">
        <f>Lead!E47</f>
        <v>200</v>
      </c>
      <c r="F115" s="96">
        <f>E115*C115</f>
        <v>360</v>
      </c>
      <c r="G115" s="121"/>
      <c r="H115" s="121"/>
      <c r="I115" s="121"/>
      <c r="J115" s="121"/>
    </row>
    <row r="116" spans="2:10" s="149" customFormat="1">
      <c r="B116" s="15" t="s">
        <v>115</v>
      </c>
      <c r="C116" s="96" t="s">
        <v>140</v>
      </c>
      <c r="D116" s="96" t="s">
        <v>114</v>
      </c>
      <c r="E116" s="96">
        <f>Lead!E48</f>
        <v>200</v>
      </c>
      <c r="F116" s="96">
        <f>E116*C116</f>
        <v>280</v>
      </c>
      <c r="G116" s="121"/>
      <c r="H116" s="121"/>
      <c r="I116" s="121"/>
      <c r="J116" s="121"/>
    </row>
    <row r="117" spans="2:10" s="149" customFormat="1" ht="25.5">
      <c r="B117" s="15" t="s">
        <v>156</v>
      </c>
      <c r="C117" s="96">
        <v>0.7</v>
      </c>
      <c r="D117" s="96" t="s">
        <v>114</v>
      </c>
      <c r="E117" s="96">
        <f>Lead!E47</f>
        <v>200</v>
      </c>
      <c r="F117" s="96">
        <f>E117*C117</f>
        <v>140</v>
      </c>
      <c r="G117" s="121"/>
      <c r="H117" s="121"/>
      <c r="I117" s="121"/>
      <c r="J117" s="121"/>
    </row>
    <row r="118" spans="2:10" s="149" customFormat="1">
      <c r="B118" s="3" t="s">
        <v>322</v>
      </c>
      <c r="C118" s="16"/>
      <c r="D118" s="16" t="s">
        <v>116</v>
      </c>
      <c r="E118" s="16">
        <f>SUM(F110:F117)</f>
        <v>3086.8999999999996</v>
      </c>
      <c r="F118" s="16">
        <f>E118*0.075</f>
        <v>231.51749999999996</v>
      </c>
      <c r="G118" s="121"/>
      <c r="H118" s="121"/>
      <c r="I118" s="121"/>
      <c r="J118" s="121"/>
    </row>
    <row r="119" spans="2:10" s="149" customFormat="1">
      <c r="B119" s="63" t="s">
        <v>323</v>
      </c>
      <c r="C119" s="16"/>
      <c r="D119" s="16" t="s">
        <v>116</v>
      </c>
      <c r="E119" s="16">
        <f>SUM(F110:F117)</f>
        <v>3086.8999999999996</v>
      </c>
      <c r="F119" s="16">
        <f>E119*0.075</f>
        <v>231.51749999999996</v>
      </c>
      <c r="G119" s="121"/>
      <c r="H119" s="121"/>
      <c r="I119" s="121"/>
      <c r="J119" s="121"/>
    </row>
    <row r="120" spans="2:10" s="149" customFormat="1">
      <c r="B120" s="99" t="s">
        <v>124</v>
      </c>
      <c r="C120" s="16"/>
      <c r="D120" s="16"/>
      <c r="E120" s="16"/>
      <c r="F120" s="16"/>
      <c r="G120" s="121"/>
      <c r="H120" s="121"/>
      <c r="I120" s="121"/>
      <c r="J120" s="121"/>
    </row>
    <row r="121" spans="2:10" s="149" customFormat="1">
      <c r="B121" s="15" t="s">
        <v>132</v>
      </c>
      <c r="C121" s="96" t="s">
        <v>133</v>
      </c>
      <c r="D121" s="96" t="s">
        <v>123</v>
      </c>
      <c r="E121" s="96">
        <f>Lead!J5</f>
        <v>335.2</v>
      </c>
      <c r="F121" s="96">
        <f>E121*C121</f>
        <v>321.79199999999997</v>
      </c>
      <c r="G121" s="121"/>
      <c r="H121" s="121"/>
      <c r="I121" s="121"/>
      <c r="J121" s="121"/>
    </row>
    <row r="122" spans="2:10" s="149" customFormat="1">
      <c r="B122" s="15" t="s">
        <v>134</v>
      </c>
      <c r="C122" s="96" t="s">
        <v>135</v>
      </c>
      <c r="D122" s="96" t="s">
        <v>123</v>
      </c>
      <c r="E122" s="96">
        <f>Lead!J20</f>
        <v>196.4</v>
      </c>
      <c r="F122" s="96">
        <f>E122*C122</f>
        <v>94.272000000000006</v>
      </c>
      <c r="G122" s="121"/>
      <c r="H122" s="121"/>
      <c r="I122" s="121"/>
      <c r="J122" s="121"/>
    </row>
    <row r="123" spans="2:10" s="149" customFormat="1">
      <c r="B123" s="15" t="s">
        <v>136</v>
      </c>
      <c r="C123" s="96">
        <v>2.29</v>
      </c>
      <c r="D123" s="96" t="s">
        <v>127</v>
      </c>
      <c r="E123" s="96">
        <f>Lead!J29</f>
        <v>16.899999999999999</v>
      </c>
      <c r="F123" s="779">
        <f>E123*C123</f>
        <v>38.701000000000001</v>
      </c>
      <c r="G123" s="121"/>
      <c r="H123" s="121"/>
      <c r="I123" s="121"/>
      <c r="J123" s="121"/>
    </row>
    <row r="124" spans="2:10" s="149" customFormat="1">
      <c r="B124" s="15" t="s">
        <v>117</v>
      </c>
      <c r="C124" s="16"/>
      <c r="D124" s="16"/>
      <c r="E124" s="16"/>
      <c r="F124" s="96">
        <f>SUM(F110:F123)</f>
        <v>4004.6999999999994</v>
      </c>
      <c r="G124" s="121"/>
      <c r="H124" s="121"/>
      <c r="I124" s="121"/>
      <c r="J124" s="121"/>
    </row>
    <row r="125" spans="2:10" s="149" customFormat="1">
      <c r="B125" s="15" t="s">
        <v>429</v>
      </c>
      <c r="C125" s="16"/>
      <c r="D125" s="16"/>
      <c r="E125" s="16"/>
      <c r="F125" s="96">
        <f>F124*1%</f>
        <v>40.046999999999997</v>
      </c>
      <c r="G125" s="121"/>
      <c r="H125" s="121"/>
      <c r="I125" s="121"/>
      <c r="J125" s="121"/>
    </row>
    <row r="126" spans="2:10" s="149" customFormat="1">
      <c r="B126" s="15"/>
      <c r="C126" s="16"/>
      <c r="D126" s="16"/>
      <c r="E126" s="16"/>
      <c r="F126" s="778">
        <f>SUM(F124:F125)</f>
        <v>4044.7469999999994</v>
      </c>
      <c r="G126" s="121"/>
      <c r="H126" s="121"/>
      <c r="I126" s="121"/>
      <c r="J126" s="121"/>
    </row>
    <row r="127" spans="2:10" s="149" customFormat="1">
      <c r="B127" s="45"/>
      <c r="C127" s="777"/>
      <c r="D127" s="777"/>
      <c r="E127" s="777" t="s">
        <v>120</v>
      </c>
      <c r="F127" s="777">
        <f>ROUND(F126,1)</f>
        <v>4044.7</v>
      </c>
      <c r="G127" s="121"/>
      <c r="H127" s="121"/>
      <c r="I127" s="121"/>
      <c r="J127" s="121"/>
    </row>
    <row r="128" spans="2:10" s="149" customFormat="1">
      <c r="C128" s="121"/>
      <c r="D128" s="121"/>
      <c r="E128" s="121"/>
      <c r="F128" s="121"/>
      <c r="G128" s="121"/>
      <c r="H128" s="121"/>
      <c r="I128" s="121"/>
      <c r="J128" s="121"/>
    </row>
    <row r="129" spans="1:10" s="149" customFormat="1" ht="25.5">
      <c r="A129" s="133">
        <v>8</v>
      </c>
      <c r="B129" s="99" t="s">
        <v>907</v>
      </c>
      <c r="C129" s="96" t="s">
        <v>130</v>
      </c>
      <c r="D129" s="96"/>
      <c r="E129" s="96"/>
      <c r="F129" s="16"/>
      <c r="G129" s="121"/>
      <c r="H129" s="121"/>
      <c r="I129" s="121"/>
      <c r="J129" s="121"/>
    </row>
    <row r="130" spans="1:10" s="149" customFormat="1">
      <c r="B130" s="99" t="s">
        <v>131</v>
      </c>
      <c r="C130" s="16"/>
      <c r="D130" s="16"/>
      <c r="E130" s="16"/>
      <c r="F130" s="16"/>
      <c r="G130" s="121"/>
      <c r="H130" s="121"/>
      <c r="I130" s="121"/>
      <c r="J130" s="121"/>
    </row>
    <row r="131" spans="1:10" s="149" customFormat="1" ht="18" customHeight="1">
      <c r="B131" s="15" t="s">
        <v>906</v>
      </c>
      <c r="C131" s="96" t="s">
        <v>133</v>
      </c>
      <c r="D131" s="96" t="s">
        <v>123</v>
      </c>
      <c r="E131" s="96">
        <f>Lead!E11</f>
        <v>1168</v>
      </c>
      <c r="F131" s="96">
        <f>E131*C131</f>
        <v>1121.28</v>
      </c>
      <c r="G131" s="121"/>
      <c r="H131" s="121"/>
      <c r="I131" s="121"/>
      <c r="J131" s="121"/>
    </row>
    <row r="132" spans="1:10" s="149" customFormat="1">
      <c r="B132" s="15" t="s">
        <v>134</v>
      </c>
      <c r="C132" s="96">
        <v>0.45</v>
      </c>
      <c r="D132" s="96" t="s">
        <v>123</v>
      </c>
      <c r="E132" s="96">
        <f>Lead!E20</f>
        <v>55</v>
      </c>
      <c r="F132" s="96">
        <f>E132*C132</f>
        <v>24.75</v>
      </c>
      <c r="G132" s="121"/>
      <c r="H132" s="121"/>
      <c r="I132" s="121"/>
      <c r="J132" s="121"/>
    </row>
    <row r="133" spans="1:10" s="149" customFormat="1">
      <c r="B133" s="15" t="s">
        <v>136</v>
      </c>
      <c r="C133" s="96">
        <v>3.23</v>
      </c>
      <c r="D133" s="96" t="s">
        <v>127</v>
      </c>
      <c r="E133" s="96">
        <f>Lead!E29</f>
        <v>650</v>
      </c>
      <c r="F133" s="96">
        <f>E133*C133</f>
        <v>2099.5</v>
      </c>
      <c r="G133" s="121"/>
      <c r="H133" s="121"/>
      <c r="I133" s="121"/>
      <c r="J133" s="121"/>
    </row>
    <row r="134" spans="1:10" s="149" customFormat="1">
      <c r="B134" s="15" t="s">
        <v>137</v>
      </c>
      <c r="C134" s="16"/>
      <c r="D134" s="16"/>
      <c r="E134" s="16"/>
      <c r="F134" s="16"/>
      <c r="G134" s="121"/>
      <c r="H134" s="121"/>
      <c r="I134" s="121"/>
      <c r="J134" s="121"/>
    </row>
    <row r="135" spans="1:10" s="149" customFormat="1">
      <c r="B135" s="15" t="s">
        <v>138</v>
      </c>
      <c r="C135" s="96" t="s">
        <v>139</v>
      </c>
      <c r="D135" s="96" t="s">
        <v>114</v>
      </c>
      <c r="E135" s="96">
        <f>Lead!E58</f>
        <v>240</v>
      </c>
      <c r="F135" s="96">
        <f>E135*C135</f>
        <v>43.199999999999996</v>
      </c>
      <c r="G135" s="121"/>
      <c r="H135" s="121"/>
      <c r="I135" s="121"/>
      <c r="J135" s="121"/>
    </row>
    <row r="136" spans="1:10" s="149" customFormat="1">
      <c r="B136" s="15" t="s">
        <v>113</v>
      </c>
      <c r="C136" s="96">
        <v>1.8</v>
      </c>
      <c r="D136" s="96" t="s">
        <v>114</v>
      </c>
      <c r="E136" s="96">
        <f>Lead!E47</f>
        <v>200</v>
      </c>
      <c r="F136" s="96">
        <f>E136*C136</f>
        <v>360</v>
      </c>
      <c r="G136" s="121"/>
      <c r="H136" s="121"/>
      <c r="I136" s="121"/>
      <c r="J136" s="121"/>
    </row>
    <row r="137" spans="1:10" s="149" customFormat="1">
      <c r="B137" s="15" t="s">
        <v>115</v>
      </c>
      <c r="C137" s="96" t="s">
        <v>140</v>
      </c>
      <c r="D137" s="96" t="s">
        <v>114</v>
      </c>
      <c r="E137" s="96">
        <f>Lead!E47</f>
        <v>200</v>
      </c>
      <c r="F137" s="96">
        <f>E137*C137</f>
        <v>280</v>
      </c>
      <c r="G137" s="121"/>
      <c r="H137" s="121"/>
      <c r="I137" s="121"/>
      <c r="J137" s="121"/>
    </row>
    <row r="138" spans="1:10" s="149" customFormat="1" ht="25.5">
      <c r="B138" s="15" t="s">
        <v>156</v>
      </c>
      <c r="C138" s="96">
        <v>0.7</v>
      </c>
      <c r="D138" s="96" t="s">
        <v>114</v>
      </c>
      <c r="E138" s="96">
        <f>Lead!E47</f>
        <v>200</v>
      </c>
      <c r="F138" s="96">
        <f>E138*C138</f>
        <v>140</v>
      </c>
      <c r="G138" s="121"/>
      <c r="H138" s="121"/>
      <c r="I138" s="121"/>
      <c r="J138" s="121"/>
    </row>
    <row r="139" spans="1:10" s="149" customFormat="1">
      <c r="B139" s="3" t="s">
        <v>322</v>
      </c>
      <c r="C139" s="16"/>
      <c r="D139" s="16" t="s">
        <v>116</v>
      </c>
      <c r="E139" s="16">
        <f>SUM(F131:F138)</f>
        <v>4068.7299999999996</v>
      </c>
      <c r="F139" s="16">
        <f>E139*0.075</f>
        <v>305.15474999999998</v>
      </c>
      <c r="G139" s="121"/>
      <c r="H139" s="121"/>
      <c r="I139" s="121"/>
      <c r="J139" s="121"/>
    </row>
    <row r="140" spans="1:10" s="149" customFormat="1">
      <c r="B140" s="63" t="s">
        <v>323</v>
      </c>
      <c r="C140" s="16"/>
      <c r="D140" s="16" t="s">
        <v>116</v>
      </c>
      <c r="E140" s="16">
        <f>SUM(F131:F138)</f>
        <v>4068.7299999999996</v>
      </c>
      <c r="F140" s="16">
        <f>E140*0.075</f>
        <v>305.15474999999998</v>
      </c>
      <c r="G140" s="121"/>
      <c r="H140" s="121"/>
      <c r="I140" s="121"/>
      <c r="J140" s="121"/>
    </row>
    <row r="141" spans="1:10" s="149" customFormat="1">
      <c r="B141" s="99" t="s">
        <v>124</v>
      </c>
      <c r="C141" s="16"/>
      <c r="D141" s="16"/>
      <c r="E141" s="16"/>
      <c r="F141" s="16"/>
      <c r="G141" s="121"/>
      <c r="H141" s="121"/>
      <c r="I141" s="121"/>
      <c r="J141" s="121"/>
    </row>
    <row r="142" spans="1:10" s="149" customFormat="1" ht="20.25" customHeight="1">
      <c r="B142" s="15" t="s">
        <v>906</v>
      </c>
      <c r="C142" s="96" t="s">
        <v>133</v>
      </c>
      <c r="D142" s="96" t="s">
        <v>123</v>
      </c>
      <c r="E142" s="96">
        <f>Lead!J11</f>
        <v>850.4</v>
      </c>
      <c r="F142" s="96">
        <f>E142*C142</f>
        <v>816.3839999999999</v>
      </c>
      <c r="G142" s="121"/>
      <c r="H142" s="121"/>
      <c r="I142" s="121"/>
      <c r="J142" s="121"/>
    </row>
    <row r="143" spans="1:10" s="149" customFormat="1">
      <c r="B143" s="15" t="s">
        <v>134</v>
      </c>
      <c r="C143" s="96" t="s">
        <v>135</v>
      </c>
      <c r="D143" s="96" t="s">
        <v>123</v>
      </c>
      <c r="E143" s="96">
        <f>Lead!J20</f>
        <v>196.4</v>
      </c>
      <c r="F143" s="96">
        <f>E143*C143</f>
        <v>94.272000000000006</v>
      </c>
      <c r="G143" s="121"/>
      <c r="H143" s="121"/>
      <c r="I143" s="121"/>
      <c r="J143" s="121"/>
    </row>
    <row r="144" spans="1:10" s="149" customFormat="1">
      <c r="B144" s="15" t="s">
        <v>136</v>
      </c>
      <c r="C144" s="96">
        <v>2.29</v>
      </c>
      <c r="D144" s="96" t="s">
        <v>127</v>
      </c>
      <c r="E144" s="96">
        <f>Lead!J29</f>
        <v>16.899999999999999</v>
      </c>
      <c r="F144" s="779">
        <f>E144*C144</f>
        <v>38.701000000000001</v>
      </c>
      <c r="G144" s="121"/>
      <c r="H144" s="121"/>
      <c r="I144" s="121"/>
      <c r="J144" s="121"/>
    </row>
    <row r="145" spans="1:10" s="149" customFormat="1">
      <c r="B145" s="15" t="s">
        <v>117</v>
      </c>
      <c r="C145" s="16"/>
      <c r="D145" s="16"/>
      <c r="E145" s="16"/>
      <c r="F145" s="96">
        <f>SUM(F131:F144)</f>
        <v>5628.3964999999989</v>
      </c>
      <c r="G145" s="121"/>
      <c r="H145" s="121"/>
      <c r="I145" s="121"/>
      <c r="J145" s="121"/>
    </row>
    <row r="146" spans="1:10" s="149" customFormat="1">
      <c r="B146" s="15" t="s">
        <v>429</v>
      </c>
      <c r="C146" s="16"/>
      <c r="D146" s="16"/>
      <c r="E146" s="16"/>
      <c r="F146" s="96">
        <f>F145*1%</f>
        <v>56.283964999999988</v>
      </c>
      <c r="G146" s="121"/>
      <c r="H146" s="121"/>
      <c r="I146" s="121"/>
      <c r="J146" s="121"/>
    </row>
    <row r="147" spans="1:10" s="149" customFormat="1">
      <c r="B147" s="15"/>
      <c r="C147" s="16"/>
      <c r="D147" s="16"/>
      <c r="E147" s="16"/>
      <c r="F147" s="778">
        <f>SUM(F145:F146)</f>
        <v>5684.6804649999985</v>
      </c>
      <c r="G147" s="121"/>
      <c r="H147" s="121"/>
      <c r="I147" s="121"/>
      <c r="J147" s="121"/>
    </row>
    <row r="148" spans="1:10" s="149" customFormat="1">
      <c r="C148" s="777"/>
      <c r="D148" s="777"/>
      <c r="E148" s="777" t="s">
        <v>120</v>
      </c>
      <c r="F148" s="777">
        <f>ROUND(F147,1)</f>
        <v>5684.7</v>
      </c>
      <c r="G148" s="121"/>
      <c r="H148" s="121"/>
      <c r="I148" s="121"/>
      <c r="J148" s="121"/>
    </row>
    <row r="149" spans="1:10" s="149" customFormat="1">
      <c r="A149" s="128">
        <v>9</v>
      </c>
      <c r="B149" s="1244" t="s">
        <v>1277</v>
      </c>
      <c r="C149" s="1244"/>
      <c r="D149" s="1244"/>
      <c r="E149" s="1244"/>
      <c r="F149" s="1244"/>
      <c r="G149" s="780"/>
      <c r="H149" s="121"/>
      <c r="I149" s="121"/>
      <c r="J149" s="121"/>
    </row>
    <row r="150" spans="1:10" s="149" customFormat="1">
      <c r="A150" s="5" t="s">
        <v>37</v>
      </c>
      <c r="B150" s="472" t="s">
        <v>1087</v>
      </c>
      <c r="C150" s="781"/>
      <c r="D150" s="780"/>
      <c r="E150" s="782"/>
      <c r="F150" s="782"/>
      <c r="G150" s="780"/>
      <c r="H150" s="121"/>
      <c r="I150" s="121"/>
      <c r="J150" s="121"/>
    </row>
    <row r="151" spans="1:10" s="149" customFormat="1">
      <c r="A151" s="5"/>
      <c r="B151" s="472" t="s">
        <v>1278</v>
      </c>
      <c r="C151" s="781">
        <v>350</v>
      </c>
      <c r="D151" s="780" t="s">
        <v>1279</v>
      </c>
      <c r="E151" s="782">
        <f>Lead!E24</f>
        <v>4750</v>
      </c>
      <c r="F151" s="782">
        <f>C151*E151/1000</f>
        <v>1662.5</v>
      </c>
      <c r="G151" s="780"/>
      <c r="H151" s="121"/>
      <c r="I151" s="121"/>
      <c r="J151" s="121"/>
    </row>
    <row r="152" spans="1:10" s="149" customFormat="1">
      <c r="A152" s="5"/>
      <c r="B152" s="472" t="s">
        <v>104</v>
      </c>
      <c r="C152" s="781">
        <v>0.28000000000000003</v>
      </c>
      <c r="D152" s="780" t="s">
        <v>297</v>
      </c>
      <c r="E152" s="782">
        <f>Lead!E20</f>
        <v>55</v>
      </c>
      <c r="F152" s="782">
        <f>C152*E152</f>
        <v>15.400000000000002</v>
      </c>
      <c r="G152" s="780"/>
      <c r="H152" s="121"/>
      <c r="I152" s="121"/>
      <c r="J152" s="121"/>
    </row>
    <row r="153" spans="1:10" s="149" customFormat="1">
      <c r="A153" s="5"/>
      <c r="B153" s="472" t="s">
        <v>1089</v>
      </c>
      <c r="C153" s="781">
        <v>0.67200000000000004</v>
      </c>
      <c r="D153" s="780" t="s">
        <v>1090</v>
      </c>
      <c r="E153" s="782">
        <f>Lead!E29</f>
        <v>650</v>
      </c>
      <c r="F153" s="782">
        <f>C153*E153</f>
        <v>436.8</v>
      </c>
      <c r="G153" s="780"/>
      <c r="H153" s="121"/>
      <c r="I153" s="121"/>
      <c r="J153" s="121"/>
    </row>
    <row r="154" spans="1:10" s="149" customFormat="1">
      <c r="A154" s="5"/>
      <c r="B154" s="472"/>
      <c r="C154" s="781"/>
      <c r="D154" s="780"/>
      <c r="E154" s="782" t="s">
        <v>117</v>
      </c>
      <c r="F154" s="782">
        <f>SUM(F151:F153)</f>
        <v>2114.7000000000003</v>
      </c>
      <c r="G154" s="780"/>
      <c r="H154" s="121"/>
      <c r="I154" s="121"/>
      <c r="J154" s="121"/>
    </row>
    <row r="155" spans="1:10" s="149" customFormat="1">
      <c r="A155" s="5"/>
      <c r="B155" s="472" t="s">
        <v>1092</v>
      </c>
      <c r="C155" s="781"/>
      <c r="D155" s="780"/>
      <c r="E155" s="782"/>
      <c r="F155" s="782"/>
      <c r="G155" s="780"/>
      <c r="H155" s="121"/>
      <c r="I155" s="121"/>
      <c r="J155" s="121"/>
    </row>
    <row r="156" spans="1:10" s="149" customFormat="1">
      <c r="A156" s="5"/>
      <c r="B156" s="472" t="s">
        <v>299</v>
      </c>
      <c r="C156" s="781">
        <v>0.35</v>
      </c>
      <c r="D156" s="780" t="s">
        <v>1094</v>
      </c>
      <c r="E156" s="782">
        <f>Lead!E64</f>
        <v>260</v>
      </c>
      <c r="F156" s="782">
        <f>C156*E156</f>
        <v>91</v>
      </c>
      <c r="G156" s="780"/>
      <c r="H156" s="121"/>
      <c r="I156" s="121"/>
      <c r="J156" s="121"/>
    </row>
    <row r="157" spans="1:10" s="149" customFormat="1">
      <c r="A157" s="5"/>
      <c r="B157" s="472" t="s">
        <v>153</v>
      </c>
      <c r="C157" s="781">
        <v>1.05</v>
      </c>
      <c r="D157" s="780" t="s">
        <v>1094</v>
      </c>
      <c r="E157" s="782">
        <f>Lead!E58</f>
        <v>240</v>
      </c>
      <c r="F157" s="782">
        <f>C157*E157</f>
        <v>252</v>
      </c>
      <c r="G157" s="780"/>
      <c r="H157" s="121"/>
      <c r="I157" s="121"/>
      <c r="J157" s="121"/>
    </row>
    <row r="158" spans="1:10" s="149" customFormat="1" ht="47.25" customHeight="1">
      <c r="A158" s="5"/>
      <c r="B158" s="472" t="s">
        <v>1096</v>
      </c>
      <c r="C158" s="781">
        <v>2.96</v>
      </c>
      <c r="D158" s="780" t="s">
        <v>1094</v>
      </c>
      <c r="E158" s="782">
        <f>Lead!E47</f>
        <v>200</v>
      </c>
      <c r="F158" s="782">
        <f>C158*E158</f>
        <v>592</v>
      </c>
      <c r="G158" s="780"/>
      <c r="H158" s="121"/>
      <c r="I158" s="121"/>
      <c r="J158" s="121"/>
    </row>
    <row r="159" spans="1:10" s="149" customFormat="1">
      <c r="A159" s="5"/>
      <c r="B159" s="472"/>
      <c r="C159" s="781"/>
      <c r="D159" s="780"/>
      <c r="E159" s="782" t="s">
        <v>117</v>
      </c>
      <c r="F159" s="782">
        <f>SUM(F156:F158)</f>
        <v>935</v>
      </c>
      <c r="G159" s="780"/>
      <c r="H159" s="121"/>
      <c r="I159" s="121"/>
      <c r="J159" s="121"/>
    </row>
    <row r="160" spans="1:10" s="149" customFormat="1">
      <c r="A160" s="5"/>
      <c r="B160" s="472"/>
      <c r="C160" s="781"/>
      <c r="D160" s="780"/>
      <c r="E160" s="782" t="s">
        <v>1280</v>
      </c>
      <c r="F160" s="782">
        <f>F154+F159</f>
        <v>3049.7000000000003</v>
      </c>
      <c r="G160" s="780"/>
      <c r="H160" s="121"/>
      <c r="I160" s="121"/>
      <c r="J160" s="121"/>
    </row>
    <row r="161" spans="1:10" s="149" customFormat="1">
      <c r="A161" s="5"/>
      <c r="B161" s="472" t="s">
        <v>1281</v>
      </c>
      <c r="C161" s="781"/>
      <c r="D161" s="780"/>
      <c r="E161" s="782"/>
      <c r="F161" s="782">
        <f>F160*0.075</f>
        <v>228.72750000000002</v>
      </c>
      <c r="G161" s="780"/>
      <c r="H161" s="121"/>
      <c r="I161" s="121"/>
      <c r="J161" s="121"/>
    </row>
    <row r="162" spans="1:10" s="149" customFormat="1">
      <c r="A162" s="5"/>
      <c r="B162" s="472" t="s">
        <v>1282</v>
      </c>
      <c r="C162" s="781"/>
      <c r="D162" s="780"/>
      <c r="E162" s="782"/>
      <c r="F162" s="782">
        <f>F160*0.075</f>
        <v>228.72750000000002</v>
      </c>
      <c r="G162" s="780"/>
      <c r="H162" s="121"/>
      <c r="I162" s="121"/>
      <c r="J162" s="121"/>
    </row>
    <row r="163" spans="1:10" s="149" customFormat="1">
      <c r="A163" s="5"/>
      <c r="B163" s="472"/>
      <c r="C163" s="781"/>
      <c r="D163" s="780"/>
      <c r="E163" s="782" t="s">
        <v>117</v>
      </c>
      <c r="F163" s="782">
        <f>F160+F161+F162</f>
        <v>3507.1550000000002</v>
      </c>
      <c r="G163" s="780"/>
      <c r="H163" s="121"/>
      <c r="I163" s="121"/>
      <c r="J163" s="121"/>
    </row>
    <row r="164" spans="1:10" s="149" customFormat="1" ht="42.75" customHeight="1">
      <c r="A164" s="5"/>
      <c r="B164" s="472" t="s">
        <v>1283</v>
      </c>
      <c r="C164" s="781"/>
      <c r="D164" s="780"/>
      <c r="E164" s="782"/>
      <c r="F164" s="782"/>
      <c r="G164" s="780"/>
      <c r="H164" s="121"/>
      <c r="I164" s="121"/>
      <c r="J164" s="121"/>
    </row>
    <row r="165" spans="1:10" s="149" customFormat="1">
      <c r="A165" s="5"/>
      <c r="B165" s="472" t="s">
        <v>1278</v>
      </c>
      <c r="C165" s="781">
        <v>350</v>
      </c>
      <c r="D165" s="780" t="s">
        <v>1279</v>
      </c>
      <c r="E165" s="782">
        <f>Lead!J24</f>
        <v>1747.4</v>
      </c>
      <c r="F165" s="782">
        <f>(C165*E165)/1000</f>
        <v>611.59</v>
      </c>
      <c r="G165" s="780"/>
      <c r="H165" s="121"/>
      <c r="I165" s="121"/>
      <c r="J165" s="121"/>
    </row>
    <row r="166" spans="1:10" s="149" customFormat="1">
      <c r="A166" s="5"/>
      <c r="B166" s="472" t="s">
        <v>104</v>
      </c>
      <c r="C166" s="781">
        <v>0.28000000000000003</v>
      </c>
      <c r="D166" s="780" t="s">
        <v>297</v>
      </c>
      <c r="E166" s="782">
        <f>Lead!J20</f>
        <v>196.4</v>
      </c>
      <c r="F166" s="782">
        <f>C166*E166</f>
        <v>54.992000000000004</v>
      </c>
      <c r="G166" s="780"/>
      <c r="H166" s="121"/>
      <c r="I166" s="121"/>
      <c r="J166" s="121"/>
    </row>
    <row r="167" spans="1:10" s="149" customFormat="1">
      <c r="A167" s="5"/>
      <c r="B167" s="472" t="s">
        <v>1089</v>
      </c>
      <c r="C167" s="781">
        <v>0.67200000000000004</v>
      </c>
      <c r="D167" s="780" t="s">
        <v>1090</v>
      </c>
      <c r="E167" s="782">
        <f>Lead!J29</f>
        <v>16.899999999999999</v>
      </c>
      <c r="F167" s="782">
        <f>C167*E167</f>
        <v>11.3568</v>
      </c>
      <c r="G167" s="780"/>
      <c r="H167" s="121"/>
      <c r="I167" s="121"/>
      <c r="J167" s="121"/>
    </row>
    <row r="168" spans="1:10" s="149" customFormat="1">
      <c r="A168" s="5"/>
      <c r="B168" s="472"/>
      <c r="C168" s="781"/>
      <c r="D168" s="780"/>
      <c r="E168" s="782" t="s">
        <v>117</v>
      </c>
      <c r="F168" s="782">
        <f>SUM(F165:F167)</f>
        <v>677.93880000000001</v>
      </c>
      <c r="G168" s="780"/>
      <c r="H168" s="121"/>
      <c r="I168" s="121"/>
      <c r="J168" s="121"/>
    </row>
    <row r="169" spans="1:10" s="149" customFormat="1">
      <c r="A169" s="5"/>
      <c r="B169" s="473" t="s">
        <v>1284</v>
      </c>
      <c r="C169" s="781"/>
      <c r="D169" s="780"/>
      <c r="E169" s="782" t="s">
        <v>1102</v>
      </c>
      <c r="F169" s="782">
        <f>F163+F168</f>
        <v>4185.0938000000006</v>
      </c>
      <c r="G169" s="782">
        <f>F169</f>
        <v>4185.0938000000006</v>
      </c>
      <c r="H169" s="121"/>
      <c r="I169" s="121"/>
      <c r="J169" s="121"/>
    </row>
    <row r="170" spans="1:10" s="149" customFormat="1">
      <c r="A170" s="5"/>
      <c r="B170" s="472" t="s">
        <v>1285</v>
      </c>
      <c r="C170" s="781"/>
      <c r="D170" s="780"/>
      <c r="E170" s="782"/>
      <c r="F170" s="782">
        <f>F169*0.01</f>
        <v>41.850938000000006</v>
      </c>
      <c r="G170" s="782"/>
      <c r="H170" s="121"/>
      <c r="I170" s="121"/>
      <c r="J170" s="121"/>
    </row>
    <row r="171" spans="1:10" s="149" customFormat="1">
      <c r="A171" s="5"/>
      <c r="B171" s="472"/>
      <c r="C171" s="781"/>
      <c r="D171" s="780"/>
      <c r="E171" s="782"/>
      <c r="F171" s="782">
        <f>SUM(F169:F170)</f>
        <v>4226.9447380000001</v>
      </c>
      <c r="G171" s="782">
        <f>SUM(G169:G170)</f>
        <v>4185.0938000000006</v>
      </c>
      <c r="H171" s="121"/>
      <c r="I171" s="121"/>
      <c r="J171" s="121"/>
    </row>
    <row r="172" spans="1:10" s="149" customFormat="1">
      <c r="A172" s="5" t="s">
        <v>38</v>
      </c>
      <c r="B172" s="472"/>
      <c r="C172" s="781"/>
      <c r="D172" s="780"/>
      <c r="E172" s="783" t="s">
        <v>463</v>
      </c>
      <c r="F172" s="784">
        <f>ROUND(F171,1)</f>
        <v>4226.8999999999996</v>
      </c>
      <c r="G172" s="783" t="s">
        <v>1286</v>
      </c>
      <c r="H172" s="121"/>
      <c r="I172" s="121"/>
      <c r="J172" s="121"/>
    </row>
    <row r="173" spans="1:10" s="149" customFormat="1">
      <c r="A173" s="5"/>
      <c r="B173" s="473" t="s">
        <v>1287</v>
      </c>
      <c r="C173" s="781"/>
      <c r="D173" s="780"/>
      <c r="E173" s="782"/>
      <c r="F173" s="782">
        <f>SUM(33*1.01)</f>
        <v>33.33</v>
      </c>
      <c r="G173" s="782">
        <v>33</v>
      </c>
      <c r="H173" s="121"/>
      <c r="I173" s="121"/>
      <c r="J173" s="121"/>
    </row>
    <row r="174" spans="1:10" s="149" customFormat="1">
      <c r="A174" s="5"/>
      <c r="B174" s="472" t="s">
        <v>1288</v>
      </c>
      <c r="C174" s="781"/>
      <c r="D174" s="780"/>
      <c r="E174" s="782"/>
      <c r="F174" s="782">
        <f>SUM(F171+F173)</f>
        <v>4260.2747380000001</v>
      </c>
      <c r="G174" s="782">
        <f>SUM(G171+G173)</f>
        <v>4218.0938000000006</v>
      </c>
      <c r="H174" s="121"/>
      <c r="I174" s="121"/>
      <c r="J174" s="121"/>
    </row>
    <row r="175" spans="1:10" s="149" customFormat="1">
      <c r="A175" s="5"/>
      <c r="B175" s="472"/>
      <c r="C175" s="781"/>
      <c r="D175" s="780"/>
      <c r="E175" s="783" t="s">
        <v>463</v>
      </c>
      <c r="F175" s="784">
        <f>ROUND(F174,1)</f>
        <v>4260.3</v>
      </c>
      <c r="G175" s="783" t="s">
        <v>1286</v>
      </c>
      <c r="H175" s="121"/>
      <c r="I175" s="121"/>
      <c r="J175" s="121"/>
    </row>
    <row r="176" spans="1:10" s="149" customFormat="1">
      <c r="A176" s="5"/>
      <c r="B176" s="472" t="s">
        <v>1183</v>
      </c>
      <c r="C176" s="781"/>
      <c r="D176" s="780"/>
      <c r="E176" s="782"/>
      <c r="F176" s="782"/>
      <c r="G176" s="780"/>
      <c r="H176" s="121"/>
      <c r="I176" s="121"/>
      <c r="J176" s="121"/>
    </row>
    <row r="177" spans="1:10" s="149" customFormat="1">
      <c r="A177" s="5"/>
      <c r="B177" s="472" t="s">
        <v>1184</v>
      </c>
      <c r="C177" s="781"/>
      <c r="D177" s="780"/>
      <c r="E177" s="782"/>
      <c r="F177" s="782">
        <f>F174</f>
        <v>4260.2747380000001</v>
      </c>
      <c r="G177" s="780"/>
      <c r="H177" s="121"/>
      <c r="I177" s="121"/>
      <c r="J177" s="121"/>
    </row>
    <row r="178" spans="1:10" s="149" customFormat="1">
      <c r="A178" s="5"/>
      <c r="B178" s="472" t="s">
        <v>1289</v>
      </c>
      <c r="C178" s="781"/>
      <c r="D178" s="780"/>
      <c r="E178" s="782"/>
      <c r="F178" s="782">
        <f>F159*0.15</f>
        <v>140.25</v>
      </c>
      <c r="G178" s="780"/>
      <c r="H178" s="121"/>
      <c r="I178" s="121"/>
      <c r="J178" s="121"/>
    </row>
    <row r="179" spans="1:10" s="149" customFormat="1">
      <c r="B179" s="472" t="s">
        <v>1290</v>
      </c>
      <c r="C179" s="781"/>
      <c r="D179" s="780"/>
      <c r="E179" s="782"/>
      <c r="F179" s="782">
        <f>SUM(F178*0.15)</f>
        <v>21.037499999999998</v>
      </c>
      <c r="G179" s="780"/>
      <c r="H179" s="121"/>
      <c r="I179" s="121"/>
      <c r="J179" s="121"/>
    </row>
    <row r="180" spans="1:10" s="268" customFormat="1" ht="11.25" customHeight="1">
      <c r="A180" s="265"/>
      <c r="B180" s="472" t="s">
        <v>1285</v>
      </c>
      <c r="C180" s="781"/>
      <c r="D180" s="780"/>
      <c r="E180" s="782"/>
      <c r="F180" s="782">
        <f>(F178+F179)*0.01</f>
        <v>1.6128750000000001</v>
      </c>
      <c r="G180" s="780"/>
      <c r="H180" s="774"/>
    </row>
    <row r="181" spans="1:10" s="268" customFormat="1" ht="11.25" customHeight="1">
      <c r="A181" s="265"/>
      <c r="B181" s="472"/>
      <c r="C181" s="781"/>
      <c r="D181" s="780"/>
      <c r="E181" s="782" t="s">
        <v>117</v>
      </c>
      <c r="F181" s="782">
        <f>F177+F178+F179+F180</f>
        <v>4423.1751130000002</v>
      </c>
      <c r="G181" s="780"/>
      <c r="H181" s="774"/>
    </row>
    <row r="182" spans="1:10" s="268" customFormat="1" ht="11.25" customHeight="1">
      <c r="A182" s="265"/>
      <c r="B182" s="472"/>
      <c r="C182" s="781"/>
      <c r="D182" s="780"/>
      <c r="E182" s="783" t="s">
        <v>120</v>
      </c>
      <c r="F182" s="784">
        <f>ROUND(F181,1)</f>
        <v>4423.2</v>
      </c>
      <c r="G182" s="783" t="s">
        <v>1286</v>
      </c>
      <c r="H182" s="774"/>
    </row>
    <row r="183" spans="1:10" s="268" customFormat="1" ht="11.25" customHeight="1">
      <c r="A183" s="265"/>
      <c r="B183" s="472"/>
      <c r="C183" s="781"/>
      <c r="D183" s="780"/>
      <c r="E183" s="783"/>
      <c r="F183" s="783"/>
      <c r="G183" s="783"/>
      <c r="H183" s="774"/>
    </row>
    <row r="184" spans="1:10" s="268" customFormat="1" ht="11.25" customHeight="1">
      <c r="A184" s="265"/>
      <c r="B184" s="472" t="s">
        <v>1187</v>
      </c>
      <c r="C184" s="781"/>
      <c r="D184" s="780"/>
      <c r="E184" s="782"/>
      <c r="F184" s="782"/>
      <c r="G184" s="780"/>
      <c r="H184" s="774"/>
    </row>
    <row r="185" spans="1:10" s="268" customFormat="1" ht="11.25" customHeight="1">
      <c r="A185" s="265"/>
      <c r="B185" s="472" t="s">
        <v>1184</v>
      </c>
      <c r="C185" s="781"/>
      <c r="D185" s="780"/>
      <c r="E185" s="782"/>
      <c r="F185" s="782">
        <f>F181</f>
        <v>4423.1751130000002</v>
      </c>
      <c r="G185" s="780"/>
      <c r="H185" s="774"/>
    </row>
    <row r="186" spans="1:10" s="268" customFormat="1" ht="11.25" customHeight="1">
      <c r="A186" s="265"/>
      <c r="B186" s="472" t="s">
        <v>1289</v>
      </c>
      <c r="C186" s="781"/>
      <c r="D186" s="780"/>
      <c r="E186" s="782"/>
      <c r="F186" s="782">
        <f>F178*1.15</f>
        <v>161.28749999999999</v>
      </c>
      <c r="G186" s="780"/>
      <c r="H186" s="774"/>
    </row>
    <row r="187" spans="1:10" s="268" customFormat="1" ht="11.25" customHeight="1">
      <c r="A187" s="265"/>
      <c r="B187" s="472" t="s">
        <v>1290</v>
      </c>
      <c r="C187" s="781"/>
      <c r="D187" s="780"/>
      <c r="E187" s="782"/>
      <c r="F187" s="782">
        <f>SUM(F186*0.15)</f>
        <v>24.193124999999998</v>
      </c>
      <c r="G187" s="780"/>
      <c r="H187" s="774"/>
    </row>
    <row r="188" spans="1:10" s="268" customFormat="1" ht="11.25" customHeight="1">
      <c r="A188" s="265"/>
      <c r="B188" s="472" t="s">
        <v>1285</v>
      </c>
      <c r="C188" s="781"/>
      <c r="D188" s="780"/>
      <c r="E188" s="782"/>
      <c r="F188" s="782">
        <f>SUM(F186:F187)*0.01</f>
        <v>1.85480625</v>
      </c>
      <c r="G188" s="780"/>
      <c r="H188" s="774"/>
    </row>
    <row r="189" spans="1:10" s="268" customFormat="1" ht="11.25" customHeight="1">
      <c r="A189" s="265"/>
      <c r="B189" s="472"/>
      <c r="C189" s="781"/>
      <c r="D189" s="780"/>
      <c r="E189" s="782" t="s">
        <v>1181</v>
      </c>
      <c r="F189" s="784">
        <f>SUM(F185:F188)</f>
        <v>4610.5105442500007</v>
      </c>
      <c r="G189" s="780"/>
      <c r="H189" s="774"/>
    </row>
    <row r="190" spans="1:10" s="149" customFormat="1">
      <c r="B190" s="472"/>
      <c r="C190" s="781"/>
      <c r="D190" s="780"/>
      <c r="E190" s="783" t="s">
        <v>120</v>
      </c>
      <c r="F190" s="783">
        <f>ROUND(F189,1)</f>
        <v>4610.5</v>
      </c>
      <c r="G190" s="783" t="s">
        <v>1286</v>
      </c>
      <c r="H190" s="121"/>
      <c r="I190" s="121"/>
      <c r="J190" s="121"/>
    </row>
    <row r="191" spans="1:10" s="149" customFormat="1">
      <c r="C191" s="777"/>
      <c r="D191" s="777"/>
      <c r="E191" s="777"/>
      <c r="F191" s="777"/>
      <c r="G191" s="121"/>
      <c r="H191" s="121"/>
      <c r="I191" s="121"/>
      <c r="J191" s="121"/>
    </row>
    <row r="192" spans="1:10" s="149" customFormat="1" ht="51">
      <c r="A192" s="133">
        <v>10</v>
      </c>
      <c r="B192" s="99" t="s">
        <v>992</v>
      </c>
      <c r="C192" s="777"/>
      <c r="D192" s="777"/>
      <c r="E192" s="777"/>
      <c r="F192" s="777"/>
      <c r="G192" s="121"/>
      <c r="H192" s="121"/>
      <c r="I192" s="121"/>
      <c r="J192" s="121"/>
    </row>
    <row r="193" spans="1:10" s="149" customFormat="1">
      <c r="A193" s="379"/>
      <c r="B193" s="99"/>
      <c r="C193" s="777"/>
      <c r="D193" s="777"/>
      <c r="E193" s="777"/>
      <c r="F193" s="777"/>
      <c r="G193" s="121"/>
      <c r="H193" s="121"/>
      <c r="I193" s="121"/>
      <c r="J193" s="121"/>
    </row>
    <row r="194" spans="1:10" s="149" customFormat="1" ht="25.5">
      <c r="A194" s="133" t="s">
        <v>467</v>
      </c>
      <c r="B194" s="380" t="s">
        <v>991</v>
      </c>
      <c r="C194" s="777"/>
      <c r="D194" s="777"/>
      <c r="E194" s="777"/>
      <c r="F194" s="777"/>
      <c r="G194" s="121"/>
      <c r="H194" s="121"/>
      <c r="I194" s="121"/>
      <c r="J194" s="121"/>
    </row>
    <row r="195" spans="1:10" s="149" customFormat="1">
      <c r="B195" s="15" t="s">
        <v>80</v>
      </c>
      <c r="C195" s="16"/>
      <c r="D195" s="16"/>
      <c r="E195" s="16"/>
      <c r="F195" s="16"/>
      <c r="G195" s="121"/>
      <c r="H195" s="121"/>
      <c r="I195" s="121"/>
      <c r="J195" s="121"/>
    </row>
    <row r="196" spans="1:10" s="149" customFormat="1">
      <c r="B196" s="99" t="s">
        <v>131</v>
      </c>
      <c r="C196" s="16"/>
      <c r="D196" s="16"/>
      <c r="E196" s="16"/>
      <c r="F196" s="16"/>
      <c r="G196" s="121"/>
      <c r="H196" s="121"/>
      <c r="I196" s="121"/>
      <c r="J196" s="121"/>
    </row>
    <row r="197" spans="1:10" s="149" customFormat="1">
      <c r="B197" s="15" t="s">
        <v>81</v>
      </c>
      <c r="C197" s="96" t="s">
        <v>82</v>
      </c>
      <c r="D197" s="96" t="s">
        <v>123</v>
      </c>
      <c r="E197" s="16">
        <v>18823</v>
      </c>
      <c r="F197" s="96">
        <f>E197*C197</f>
        <v>5025.741</v>
      </c>
      <c r="G197" s="121"/>
      <c r="H197" s="121"/>
      <c r="I197" s="121"/>
      <c r="J197" s="121"/>
    </row>
    <row r="198" spans="1:10" s="149" customFormat="1">
      <c r="B198" s="15" t="s">
        <v>83</v>
      </c>
      <c r="C198" s="96">
        <v>12.6</v>
      </c>
      <c r="D198" s="96" t="s">
        <v>41</v>
      </c>
      <c r="E198" s="96">
        <v>50</v>
      </c>
      <c r="F198" s="96">
        <f>E198*C198</f>
        <v>630</v>
      </c>
      <c r="G198" s="121"/>
      <c r="H198" s="121"/>
      <c r="I198" s="121"/>
      <c r="J198" s="121"/>
    </row>
    <row r="199" spans="1:10" s="149" customFormat="1">
      <c r="B199" s="15" t="s">
        <v>42</v>
      </c>
      <c r="C199" s="96">
        <v>0.32840000000000003</v>
      </c>
      <c r="D199" s="96" t="s">
        <v>43</v>
      </c>
      <c r="E199" s="96">
        <v>169</v>
      </c>
      <c r="F199" s="96">
        <f>E199/1.25*C199</f>
        <v>44.399679999999996</v>
      </c>
      <c r="G199" s="121"/>
      <c r="H199" s="121"/>
      <c r="I199" s="121"/>
      <c r="J199" s="121"/>
    </row>
    <row r="200" spans="1:10" s="149" customFormat="1">
      <c r="B200" s="15" t="s">
        <v>117</v>
      </c>
      <c r="C200" s="16"/>
      <c r="D200" s="16"/>
      <c r="E200" s="16"/>
      <c r="F200" s="778">
        <f>SUM(F197:F199)</f>
        <v>5700.1406800000004</v>
      </c>
      <c r="G200" s="121"/>
      <c r="H200" s="121"/>
      <c r="I200" s="121"/>
      <c r="J200" s="121"/>
    </row>
    <row r="201" spans="1:10" s="149" customFormat="1">
      <c r="B201" s="15" t="s">
        <v>175</v>
      </c>
      <c r="C201" s="16"/>
      <c r="D201" s="16"/>
      <c r="E201" s="16"/>
      <c r="F201" s="96">
        <f>F200/10</f>
        <v>570.01406800000007</v>
      </c>
      <c r="G201" s="121"/>
      <c r="H201" s="121"/>
      <c r="I201" s="121"/>
      <c r="J201" s="121"/>
    </row>
    <row r="202" spans="1:10" s="149" customFormat="1">
      <c r="B202" s="99" t="s">
        <v>137</v>
      </c>
      <c r="C202" s="16"/>
      <c r="D202" s="16"/>
      <c r="E202" s="16"/>
      <c r="F202" s="16"/>
      <c r="G202" s="121"/>
      <c r="H202" s="121"/>
      <c r="I202" s="121"/>
      <c r="J202" s="121"/>
    </row>
    <row r="203" spans="1:10" s="149" customFormat="1">
      <c r="B203" s="15" t="s">
        <v>44</v>
      </c>
      <c r="C203" s="96">
        <v>0.5</v>
      </c>
      <c r="D203" s="96" t="s">
        <v>114</v>
      </c>
      <c r="E203" s="96">
        <f>Lead!E60</f>
        <v>240</v>
      </c>
      <c r="F203" s="96">
        <f>E203*C203</f>
        <v>120</v>
      </c>
      <c r="G203" s="121"/>
      <c r="H203" s="121"/>
      <c r="I203" s="121"/>
      <c r="J203" s="121"/>
    </row>
    <row r="204" spans="1:10" s="149" customFormat="1">
      <c r="B204" s="15" t="s">
        <v>154</v>
      </c>
      <c r="C204" s="96">
        <v>0.5</v>
      </c>
      <c r="D204" s="96" t="s">
        <v>114</v>
      </c>
      <c r="E204" s="96">
        <f>Lead!E54</f>
        <v>220</v>
      </c>
      <c r="F204" s="96">
        <f>E204*C204</f>
        <v>110</v>
      </c>
      <c r="G204" s="121"/>
      <c r="H204" s="121"/>
      <c r="I204" s="121"/>
      <c r="J204" s="121"/>
    </row>
    <row r="205" spans="1:10" s="149" customFormat="1">
      <c r="B205" s="3" t="s">
        <v>322</v>
      </c>
      <c r="C205" s="16"/>
      <c r="D205" s="96" t="s">
        <v>116</v>
      </c>
      <c r="E205" s="96">
        <f>SUM(F201:F204)</f>
        <v>800.01406800000007</v>
      </c>
      <c r="F205" s="96">
        <f>E205*0.075</f>
        <v>60.001055100000002</v>
      </c>
      <c r="G205" s="121"/>
      <c r="H205" s="121"/>
      <c r="I205" s="121"/>
      <c r="J205" s="121"/>
    </row>
    <row r="206" spans="1:10" s="149" customFormat="1">
      <c r="B206" s="63" t="s">
        <v>323</v>
      </c>
      <c r="C206" s="16"/>
      <c r="D206" s="96" t="s">
        <v>116</v>
      </c>
      <c r="E206" s="96">
        <f>SUM(F201:F204)</f>
        <v>800.01406800000007</v>
      </c>
      <c r="F206" s="96">
        <f>E206*0.075</f>
        <v>60.001055100000002</v>
      </c>
      <c r="G206" s="121"/>
      <c r="H206" s="121"/>
      <c r="I206" s="121"/>
      <c r="J206" s="121"/>
    </row>
    <row r="207" spans="1:10" s="149" customFormat="1">
      <c r="B207" s="15" t="s">
        <v>117</v>
      </c>
      <c r="C207" s="16"/>
      <c r="D207" s="16"/>
      <c r="E207" s="16"/>
      <c r="F207" s="778">
        <f>SUM(F201:F206)</f>
        <v>920.01617820000013</v>
      </c>
      <c r="G207" s="121"/>
      <c r="H207" s="121"/>
      <c r="I207" s="121"/>
      <c r="J207" s="121"/>
    </row>
    <row r="208" spans="1:10" s="149" customFormat="1">
      <c r="B208" s="15" t="s">
        <v>60</v>
      </c>
      <c r="C208" s="16"/>
      <c r="D208" s="16"/>
      <c r="E208" s="16"/>
      <c r="F208" s="96">
        <f>F207/10</f>
        <v>92.001617820000007</v>
      </c>
      <c r="G208" s="121"/>
      <c r="H208" s="121"/>
      <c r="I208" s="121"/>
      <c r="J208" s="121"/>
    </row>
    <row r="209" spans="1:10" s="149" customFormat="1">
      <c r="B209" s="15" t="s">
        <v>429</v>
      </c>
      <c r="C209" s="16"/>
      <c r="D209" s="16"/>
      <c r="E209" s="16"/>
      <c r="F209" s="96">
        <f>F208*1%</f>
        <v>0.92001617820000003</v>
      </c>
      <c r="G209" s="121"/>
      <c r="H209" s="121"/>
      <c r="I209" s="121"/>
      <c r="J209" s="121"/>
    </row>
    <row r="210" spans="1:10" s="149" customFormat="1">
      <c r="B210" s="15"/>
      <c r="C210" s="16"/>
      <c r="D210" s="16"/>
      <c r="E210" s="16"/>
      <c r="F210" s="778">
        <f>SUM(F208:F209)</f>
        <v>92.921633998200008</v>
      </c>
      <c r="G210" s="121"/>
      <c r="H210" s="121"/>
      <c r="I210" s="121"/>
      <c r="J210" s="121"/>
    </row>
    <row r="211" spans="1:10" s="149" customFormat="1">
      <c r="B211" s="45"/>
      <c r="C211" s="777"/>
      <c r="D211" s="777"/>
      <c r="E211" s="777" t="s">
        <v>120</v>
      </c>
      <c r="F211" s="777">
        <f>ROUND(F210,1)</f>
        <v>92.9</v>
      </c>
      <c r="G211" s="121"/>
      <c r="H211" s="121"/>
      <c r="I211" s="121"/>
      <c r="J211" s="121"/>
    </row>
    <row r="212" spans="1:10" s="20" customFormat="1">
      <c r="A212" s="98" t="s">
        <v>38</v>
      </c>
      <c r="B212" s="15" t="s">
        <v>71</v>
      </c>
      <c r="C212" s="16"/>
      <c r="D212" s="96" t="s">
        <v>161</v>
      </c>
      <c r="E212" s="777"/>
      <c r="F212" s="777"/>
      <c r="G212" s="4"/>
      <c r="H212" s="4"/>
    </row>
    <row r="213" spans="1:10" s="20" customFormat="1">
      <c r="A213" s="5"/>
      <c r="B213" s="15" t="s">
        <v>157</v>
      </c>
      <c r="C213" s="16"/>
      <c r="D213" s="16"/>
      <c r="E213" s="16"/>
      <c r="F213" s="16">
        <f>F210</f>
        <v>92.921633998200008</v>
      </c>
      <c r="G213" s="4"/>
      <c r="H213" s="4"/>
    </row>
    <row r="214" spans="1:10" s="20" customFormat="1">
      <c r="A214" s="5"/>
      <c r="B214" s="15" t="s">
        <v>277</v>
      </c>
      <c r="C214" s="96"/>
      <c r="D214" s="96" t="s">
        <v>116</v>
      </c>
      <c r="E214" s="96">
        <f>F210</f>
        <v>92.921633998200008</v>
      </c>
      <c r="F214" s="96">
        <f>E214*0.2</f>
        <v>18.584326799640003</v>
      </c>
      <c r="G214" s="4"/>
      <c r="H214" s="4"/>
    </row>
    <row r="215" spans="1:10" s="20" customFormat="1">
      <c r="A215" s="5"/>
      <c r="B215" s="15" t="s">
        <v>117</v>
      </c>
      <c r="C215" s="96"/>
      <c r="D215" s="96"/>
      <c r="E215" s="96"/>
      <c r="F215" s="96">
        <f>SUM(F213:F214)</f>
        <v>111.50596079784</v>
      </c>
      <c r="G215" s="4"/>
      <c r="H215" s="4"/>
    </row>
    <row r="216" spans="1:10" s="20" customFormat="1">
      <c r="A216" s="5"/>
      <c r="B216" s="45"/>
      <c r="C216" s="777"/>
      <c r="D216" s="777"/>
      <c r="E216" s="777" t="s">
        <v>120</v>
      </c>
      <c r="F216" s="777">
        <f>ROUND(F215,1)</f>
        <v>111.5</v>
      </c>
      <c r="G216" s="4"/>
      <c r="H216" s="4"/>
    </row>
    <row r="217" spans="1:10" s="20" customFormat="1">
      <c r="A217" s="5" t="s">
        <v>39</v>
      </c>
      <c r="B217" s="64" t="s">
        <v>267</v>
      </c>
      <c r="C217" s="777"/>
      <c r="D217" s="96" t="s">
        <v>161</v>
      </c>
      <c r="E217" s="777"/>
      <c r="F217" s="777"/>
      <c r="G217" s="4"/>
      <c r="H217" s="4"/>
    </row>
    <row r="218" spans="1:10" s="20" customFormat="1">
      <c r="A218" s="5"/>
      <c r="B218" s="15" t="s">
        <v>278</v>
      </c>
      <c r="C218" s="16"/>
      <c r="D218" s="16"/>
      <c r="E218" s="16"/>
      <c r="F218" s="16">
        <f>F215</f>
        <v>111.50596079784</v>
      </c>
      <c r="G218" s="4"/>
      <c r="H218" s="4"/>
    </row>
    <row r="219" spans="1:10" s="20" customFormat="1">
      <c r="A219" s="5"/>
      <c r="B219" s="15" t="s">
        <v>279</v>
      </c>
      <c r="C219" s="96"/>
      <c r="D219" s="96" t="s">
        <v>116</v>
      </c>
      <c r="E219" s="96">
        <f>F215</f>
        <v>111.50596079784</v>
      </c>
      <c r="F219" s="96">
        <f>E219*0.2</f>
        <v>22.301192159568004</v>
      </c>
      <c r="G219" s="4"/>
      <c r="H219" s="4"/>
    </row>
    <row r="220" spans="1:10" s="20" customFormat="1">
      <c r="A220" s="5"/>
      <c r="B220" s="15" t="s">
        <v>117</v>
      </c>
      <c r="C220" s="96"/>
      <c r="D220" s="96"/>
      <c r="E220" s="96"/>
      <c r="F220" s="96">
        <f>SUM(F218:F219)</f>
        <v>133.80715295740799</v>
      </c>
      <c r="G220" s="4"/>
      <c r="H220" s="4"/>
    </row>
    <row r="221" spans="1:10" s="20" customFormat="1">
      <c r="A221" s="5"/>
      <c r="B221" s="45"/>
      <c r="C221" s="777"/>
      <c r="D221" s="777"/>
      <c r="E221" s="777" t="s">
        <v>120</v>
      </c>
      <c r="F221" s="777">
        <f>ROUND(F220,1)</f>
        <v>133.80000000000001</v>
      </c>
      <c r="G221" s="4"/>
      <c r="H221" s="4"/>
    </row>
    <row r="222" spans="1:10" s="149" customFormat="1">
      <c r="C222" s="121"/>
      <c r="D222" s="121"/>
      <c r="E222" s="121"/>
      <c r="F222" s="121"/>
      <c r="G222" s="121"/>
      <c r="H222" s="121"/>
      <c r="I222" s="121"/>
      <c r="J222" s="121"/>
    </row>
    <row r="223" spans="1:10" s="149" customFormat="1" ht="38.25">
      <c r="A223" s="133" t="s">
        <v>468</v>
      </c>
      <c r="B223" s="380" t="s">
        <v>993</v>
      </c>
      <c r="C223" s="121"/>
      <c r="D223" s="121"/>
      <c r="E223" s="121"/>
      <c r="F223" s="121"/>
      <c r="G223" s="121"/>
      <c r="H223" s="121"/>
      <c r="I223" s="121"/>
      <c r="J223" s="121"/>
    </row>
    <row r="224" spans="1:10" s="149" customFormat="1">
      <c r="B224" s="15" t="s">
        <v>997</v>
      </c>
      <c r="C224" s="121"/>
      <c r="D224" s="121"/>
      <c r="E224" s="121"/>
      <c r="F224" s="121"/>
      <c r="G224" s="121"/>
      <c r="H224" s="121"/>
      <c r="I224" s="121"/>
      <c r="J224" s="121"/>
    </row>
    <row r="225" spans="2:10" s="149" customFormat="1">
      <c r="B225" s="99" t="s">
        <v>131</v>
      </c>
      <c r="C225" s="16"/>
      <c r="D225" s="16"/>
      <c r="E225" s="16"/>
      <c r="F225" s="16"/>
      <c r="G225" s="121"/>
      <c r="H225" s="121"/>
      <c r="I225" s="121"/>
      <c r="J225" s="121"/>
    </row>
    <row r="226" spans="2:10" s="149" customFormat="1" ht="25.5">
      <c r="B226" s="15" t="s">
        <v>994</v>
      </c>
      <c r="C226" s="134">
        <v>0.112</v>
      </c>
      <c r="D226" s="96" t="s">
        <v>123</v>
      </c>
      <c r="E226" s="16">
        <v>18823</v>
      </c>
      <c r="F226" s="96">
        <f>E226*C226</f>
        <v>2108.1759999999999</v>
      </c>
      <c r="G226" s="121"/>
      <c r="H226" s="121"/>
      <c r="I226" s="121"/>
      <c r="J226" s="121"/>
    </row>
    <row r="227" spans="2:10" s="149" customFormat="1">
      <c r="B227" s="15" t="s">
        <v>995</v>
      </c>
      <c r="C227" s="96">
        <v>0.34</v>
      </c>
      <c r="D227" s="96" t="s">
        <v>123</v>
      </c>
      <c r="E227" s="16">
        <v>18823</v>
      </c>
      <c r="F227" s="96">
        <f>E227*C227</f>
        <v>6399.8200000000006</v>
      </c>
      <c r="G227" s="121"/>
      <c r="H227" s="121"/>
      <c r="I227" s="121"/>
      <c r="J227" s="121"/>
    </row>
    <row r="228" spans="2:10" s="149" customFormat="1">
      <c r="B228" s="15" t="s">
        <v>996</v>
      </c>
      <c r="C228" s="96">
        <v>56</v>
      </c>
      <c r="D228" s="96" t="s">
        <v>41</v>
      </c>
      <c r="E228" s="96">
        <v>108</v>
      </c>
      <c r="F228" s="96">
        <f>E228*C228</f>
        <v>6048</v>
      </c>
      <c r="G228" s="121"/>
      <c r="H228" s="121"/>
      <c r="I228" s="121"/>
      <c r="J228" s="121"/>
    </row>
    <row r="229" spans="2:10" s="149" customFormat="1">
      <c r="B229" s="15" t="s">
        <v>42</v>
      </c>
      <c r="C229" s="134">
        <v>1.1419999999999999</v>
      </c>
      <c r="D229" s="96" t="s">
        <v>43</v>
      </c>
      <c r="E229" s="96">
        <v>169</v>
      </c>
      <c r="F229" s="96">
        <f>E229/1.25*C229</f>
        <v>154.39839999999998</v>
      </c>
      <c r="G229" s="121"/>
      <c r="H229" s="121"/>
      <c r="I229" s="121"/>
      <c r="J229" s="121"/>
    </row>
    <row r="230" spans="2:10" s="149" customFormat="1">
      <c r="B230" s="15" t="s">
        <v>117</v>
      </c>
      <c r="C230" s="16"/>
      <c r="D230" s="16"/>
      <c r="E230" s="16"/>
      <c r="F230" s="96">
        <f>SUM(F226:F229)</f>
        <v>14710.394400000001</v>
      </c>
      <c r="G230" s="121"/>
      <c r="H230" s="121"/>
      <c r="I230" s="121"/>
      <c r="J230" s="121"/>
    </row>
    <row r="231" spans="2:10" s="149" customFormat="1">
      <c r="B231" s="15" t="s">
        <v>175</v>
      </c>
      <c r="C231" s="16"/>
      <c r="D231" s="16"/>
      <c r="E231" s="16"/>
      <c r="F231" s="96">
        <f>F230/10</f>
        <v>1471.03944</v>
      </c>
      <c r="G231" s="121"/>
      <c r="H231" s="121"/>
      <c r="I231" s="121"/>
      <c r="J231" s="121"/>
    </row>
    <row r="232" spans="2:10" s="149" customFormat="1">
      <c r="B232" s="99" t="s">
        <v>137</v>
      </c>
      <c r="C232" s="16"/>
      <c r="D232" s="16"/>
      <c r="E232" s="16"/>
      <c r="F232" s="16"/>
      <c r="G232" s="121"/>
      <c r="H232" s="121"/>
      <c r="I232" s="121"/>
      <c r="J232" s="121"/>
    </row>
    <row r="233" spans="2:10" s="149" customFormat="1">
      <c r="B233" s="15" t="s">
        <v>44</v>
      </c>
      <c r="C233" s="96">
        <v>2.75</v>
      </c>
      <c r="D233" s="96" t="s">
        <v>114</v>
      </c>
      <c r="E233" s="96">
        <f>Lead!E60</f>
        <v>240</v>
      </c>
      <c r="F233" s="96">
        <f>E233*C233</f>
        <v>660</v>
      </c>
      <c r="G233" s="121"/>
      <c r="H233" s="121"/>
      <c r="I233" s="121"/>
      <c r="J233" s="121"/>
    </row>
    <row r="234" spans="2:10" s="149" customFormat="1">
      <c r="B234" s="15" t="s">
        <v>154</v>
      </c>
      <c r="C234" s="96">
        <v>2.75</v>
      </c>
      <c r="D234" s="96" t="s">
        <v>114</v>
      </c>
      <c r="E234" s="96">
        <f>Lead!E54</f>
        <v>220</v>
      </c>
      <c r="F234" s="96">
        <f>E234*C234</f>
        <v>605</v>
      </c>
      <c r="G234" s="121"/>
      <c r="H234" s="121"/>
      <c r="I234" s="121"/>
      <c r="J234" s="121"/>
    </row>
    <row r="235" spans="2:10" s="149" customFormat="1">
      <c r="B235" s="3" t="s">
        <v>322</v>
      </c>
      <c r="C235" s="16"/>
      <c r="D235" s="96" t="s">
        <v>116</v>
      </c>
      <c r="E235" s="96">
        <f>SUM(F231:F234)</f>
        <v>2736.03944</v>
      </c>
      <c r="F235" s="96">
        <f>E235*0.075</f>
        <v>205.202958</v>
      </c>
      <c r="G235" s="121"/>
      <c r="H235" s="121"/>
      <c r="I235" s="121"/>
      <c r="J235" s="121"/>
    </row>
    <row r="236" spans="2:10" s="149" customFormat="1">
      <c r="B236" s="63" t="s">
        <v>323</v>
      </c>
      <c r="C236" s="16"/>
      <c r="D236" s="96" t="s">
        <v>116</v>
      </c>
      <c r="E236" s="96">
        <f>SUM(F231:F234)</f>
        <v>2736.03944</v>
      </c>
      <c r="F236" s="96">
        <f>E236*0.075</f>
        <v>205.202958</v>
      </c>
      <c r="G236" s="121"/>
      <c r="H236" s="121"/>
      <c r="I236" s="121"/>
      <c r="J236" s="121"/>
    </row>
    <row r="237" spans="2:10" s="149" customFormat="1">
      <c r="B237" s="15" t="s">
        <v>117</v>
      </c>
      <c r="C237" s="16"/>
      <c r="D237" s="16"/>
      <c r="E237" s="16"/>
      <c r="F237" s="96">
        <f>SUM(F231:F236)</f>
        <v>3146.4453559999997</v>
      </c>
      <c r="G237" s="121"/>
      <c r="H237" s="121"/>
      <c r="I237" s="121"/>
      <c r="J237" s="121"/>
    </row>
    <row r="238" spans="2:10" s="149" customFormat="1">
      <c r="B238" s="15" t="s">
        <v>60</v>
      </c>
      <c r="C238" s="16"/>
      <c r="D238" s="16"/>
      <c r="E238" s="16"/>
      <c r="F238" s="96">
        <f>F237/9</f>
        <v>349.60503955555555</v>
      </c>
      <c r="G238" s="121"/>
      <c r="H238" s="121"/>
      <c r="I238" s="121"/>
      <c r="J238" s="121"/>
    </row>
    <row r="239" spans="2:10" s="149" customFormat="1">
      <c r="B239" s="15" t="s">
        <v>429</v>
      </c>
      <c r="C239" s="16"/>
      <c r="D239" s="16"/>
      <c r="E239" s="16"/>
      <c r="F239" s="96">
        <f>F238*1%</f>
        <v>3.4960503955555557</v>
      </c>
      <c r="G239" s="121"/>
      <c r="H239" s="121"/>
      <c r="I239" s="121"/>
      <c r="J239" s="121"/>
    </row>
    <row r="240" spans="2:10" s="149" customFormat="1">
      <c r="B240" s="15"/>
      <c r="C240" s="16"/>
      <c r="D240" s="16"/>
      <c r="E240" s="16"/>
      <c r="F240" s="778">
        <f>SUM(F238:F239)</f>
        <v>353.10108995111108</v>
      </c>
      <c r="G240" s="121"/>
      <c r="H240" s="121"/>
      <c r="I240" s="121"/>
      <c r="J240" s="121"/>
    </row>
    <row r="241" spans="1:10" s="149" customFormat="1">
      <c r="B241" s="45"/>
      <c r="C241" s="777"/>
      <c r="D241" s="777"/>
      <c r="E241" s="777" t="s">
        <v>120</v>
      </c>
      <c r="F241" s="777">
        <f>ROUND(F240,1)</f>
        <v>353.1</v>
      </c>
      <c r="G241" s="121"/>
      <c r="H241" s="121"/>
      <c r="I241" s="121"/>
      <c r="J241" s="121"/>
    </row>
    <row r="242" spans="1:10" s="20" customFormat="1">
      <c r="A242" s="98" t="s">
        <v>38</v>
      </c>
      <c r="B242" s="15" t="s">
        <v>71</v>
      </c>
      <c r="C242" s="16"/>
      <c r="D242" s="96" t="s">
        <v>161</v>
      </c>
      <c r="E242" s="777"/>
      <c r="F242" s="777"/>
      <c r="G242" s="4"/>
      <c r="H242" s="4"/>
    </row>
    <row r="243" spans="1:10" s="20" customFormat="1">
      <c r="A243" s="5"/>
      <c r="B243" s="15" t="s">
        <v>157</v>
      </c>
      <c r="C243" s="16"/>
      <c r="D243" s="16"/>
      <c r="E243" s="16"/>
      <c r="F243" s="16">
        <f>F240</f>
        <v>353.10108995111108</v>
      </c>
      <c r="G243" s="4"/>
      <c r="H243" s="4"/>
    </row>
    <row r="244" spans="1:10" s="20" customFormat="1">
      <c r="A244" s="5"/>
      <c r="B244" s="15" t="s">
        <v>277</v>
      </c>
      <c r="C244" s="96"/>
      <c r="D244" s="96" t="s">
        <v>116</v>
      </c>
      <c r="E244" s="96">
        <f>F240</f>
        <v>353.10108995111108</v>
      </c>
      <c r="F244" s="96">
        <f>E244*0.2</f>
        <v>70.620217990222216</v>
      </c>
      <c r="G244" s="4"/>
      <c r="H244" s="4"/>
    </row>
    <row r="245" spans="1:10" s="20" customFormat="1">
      <c r="A245" s="5"/>
      <c r="B245" s="15" t="s">
        <v>117</v>
      </c>
      <c r="C245" s="96"/>
      <c r="D245" s="96"/>
      <c r="E245" s="96"/>
      <c r="F245" s="96">
        <f>SUM(F243:F244)</f>
        <v>423.72130794133329</v>
      </c>
      <c r="G245" s="4"/>
      <c r="H245" s="4"/>
    </row>
    <row r="246" spans="1:10" s="20" customFormat="1">
      <c r="A246" s="5"/>
      <c r="B246" s="45"/>
      <c r="C246" s="777"/>
      <c r="D246" s="777"/>
      <c r="E246" s="777" t="s">
        <v>120</v>
      </c>
      <c r="F246" s="777">
        <f>ROUND(F245,1)</f>
        <v>423.7</v>
      </c>
      <c r="G246" s="4"/>
      <c r="H246" s="4"/>
    </row>
    <row r="247" spans="1:10" s="20" customFormat="1">
      <c r="A247" s="5" t="s">
        <v>39</v>
      </c>
      <c r="B247" s="64" t="s">
        <v>267</v>
      </c>
      <c r="C247" s="777"/>
      <c r="D247" s="96" t="s">
        <v>161</v>
      </c>
      <c r="E247" s="777"/>
      <c r="F247" s="777"/>
      <c r="G247" s="4"/>
      <c r="H247" s="4"/>
    </row>
    <row r="248" spans="1:10" s="20" customFormat="1">
      <c r="A248" s="5"/>
      <c r="B248" s="15" t="s">
        <v>278</v>
      </c>
      <c r="C248" s="16"/>
      <c r="D248" s="16"/>
      <c r="E248" s="16"/>
      <c r="F248" s="16">
        <f>F245</f>
        <v>423.72130794133329</v>
      </c>
      <c r="G248" s="4"/>
      <c r="H248" s="4"/>
    </row>
    <row r="249" spans="1:10" s="20" customFormat="1">
      <c r="A249" s="5"/>
      <c r="B249" s="15" t="s">
        <v>279</v>
      </c>
      <c r="C249" s="96"/>
      <c r="D249" s="96" t="s">
        <v>116</v>
      </c>
      <c r="E249" s="96">
        <f>F245</f>
        <v>423.72130794133329</v>
      </c>
      <c r="F249" s="96">
        <f>E249*0.2</f>
        <v>84.744261588266667</v>
      </c>
      <c r="G249" s="4"/>
      <c r="H249" s="4"/>
    </row>
    <row r="250" spans="1:10" s="20" customFormat="1">
      <c r="A250" s="5"/>
      <c r="B250" s="15" t="s">
        <v>117</v>
      </c>
      <c r="C250" s="96"/>
      <c r="D250" s="96"/>
      <c r="E250" s="96"/>
      <c r="F250" s="96">
        <f>SUM(F248:F249)</f>
        <v>508.46556952959997</v>
      </c>
      <c r="G250" s="4"/>
      <c r="H250" s="4"/>
    </row>
    <row r="251" spans="1:10" s="20" customFormat="1">
      <c r="A251" s="5"/>
      <c r="B251" s="45"/>
      <c r="C251" s="777"/>
      <c r="D251" s="777"/>
      <c r="E251" s="777" t="s">
        <v>120</v>
      </c>
      <c r="F251" s="777">
        <f>ROUND(F250,1)</f>
        <v>508.5</v>
      </c>
      <c r="G251" s="4"/>
      <c r="H251" s="4"/>
    </row>
    <row r="252" spans="1:10" s="149" customFormat="1">
      <c r="C252" s="121"/>
      <c r="D252" s="121"/>
      <c r="E252" s="121"/>
      <c r="F252" s="121"/>
      <c r="G252" s="121"/>
      <c r="H252" s="121"/>
      <c r="I252" s="121"/>
      <c r="J252" s="121"/>
    </row>
    <row r="253" spans="1:10" s="149" customFormat="1">
      <c r="A253" s="353" t="s">
        <v>469</v>
      </c>
      <c r="B253" s="36" t="s">
        <v>998</v>
      </c>
      <c r="C253" s="121"/>
      <c r="D253" s="121"/>
      <c r="E253" s="121"/>
      <c r="F253" s="121"/>
      <c r="G253" s="121"/>
      <c r="H253" s="121"/>
      <c r="I253" s="121"/>
      <c r="J253" s="121"/>
    </row>
    <row r="254" spans="1:10" s="149" customFormat="1">
      <c r="B254" s="20" t="s">
        <v>999</v>
      </c>
      <c r="C254" s="121"/>
      <c r="D254" s="121"/>
      <c r="E254" s="121"/>
      <c r="F254" s="121"/>
      <c r="G254" s="121"/>
      <c r="H254" s="121"/>
      <c r="I254" s="121"/>
      <c r="J254" s="121"/>
    </row>
    <row r="255" spans="1:10" s="149" customFormat="1">
      <c r="B255" s="20" t="s">
        <v>1000</v>
      </c>
      <c r="C255" s="121">
        <v>0.41299999999999998</v>
      </c>
      <c r="D255" s="96" t="s">
        <v>123</v>
      </c>
      <c r="E255" s="121">
        <v>18823</v>
      </c>
      <c r="F255" s="120">
        <f>C255*E255</f>
        <v>7773.8989999999994</v>
      </c>
      <c r="G255" s="121"/>
      <c r="H255" s="121"/>
      <c r="I255" s="121"/>
      <c r="J255" s="121"/>
    </row>
    <row r="256" spans="1:10" s="149" customFormat="1">
      <c r="B256" s="20" t="s">
        <v>1001</v>
      </c>
      <c r="C256" s="121">
        <v>21</v>
      </c>
      <c r="D256" s="4" t="s">
        <v>452</v>
      </c>
      <c r="E256" s="121">
        <v>75</v>
      </c>
      <c r="F256" s="120">
        <f>C256*E256</f>
        <v>1575</v>
      </c>
      <c r="G256" s="121"/>
      <c r="H256" s="121"/>
      <c r="I256" s="121"/>
      <c r="J256" s="121"/>
    </row>
    <row r="257" spans="1:10" s="149" customFormat="1">
      <c r="B257" s="20" t="s">
        <v>42</v>
      </c>
      <c r="C257" s="121">
        <v>0.68899999999999995</v>
      </c>
      <c r="D257" s="4" t="s">
        <v>123</v>
      </c>
      <c r="E257" s="121">
        <v>169</v>
      </c>
      <c r="F257" s="120">
        <f>C257*E257</f>
        <v>116.44099999999999</v>
      </c>
      <c r="G257" s="121"/>
      <c r="H257" s="121"/>
      <c r="I257" s="121"/>
      <c r="J257" s="121"/>
    </row>
    <row r="258" spans="1:10" s="149" customFormat="1">
      <c r="B258" s="15" t="s">
        <v>117</v>
      </c>
      <c r="C258" s="121"/>
      <c r="D258" s="121"/>
      <c r="E258" s="121"/>
      <c r="F258" s="120">
        <f>SUM(F255:F257)</f>
        <v>9465.34</v>
      </c>
      <c r="G258" s="121"/>
      <c r="H258" s="121"/>
      <c r="I258" s="121"/>
      <c r="J258" s="121"/>
    </row>
    <row r="259" spans="1:10" s="149" customFormat="1">
      <c r="B259" s="15" t="s">
        <v>175</v>
      </c>
      <c r="C259" s="121"/>
      <c r="D259" s="121"/>
      <c r="E259" s="121"/>
      <c r="F259" s="120">
        <f>F258/10</f>
        <v>946.53399999999999</v>
      </c>
      <c r="G259" s="121"/>
      <c r="H259" s="121"/>
      <c r="I259" s="121"/>
      <c r="J259" s="121"/>
    </row>
    <row r="260" spans="1:10" s="149" customFormat="1">
      <c r="B260" s="99" t="s">
        <v>137</v>
      </c>
      <c r="C260" s="121"/>
      <c r="D260" s="121"/>
      <c r="E260" s="121"/>
      <c r="F260" s="120"/>
      <c r="G260" s="121"/>
      <c r="H260" s="121"/>
      <c r="I260" s="121"/>
      <c r="J260" s="121"/>
    </row>
    <row r="261" spans="1:10" s="149" customFormat="1">
      <c r="B261" s="15" t="s">
        <v>44</v>
      </c>
      <c r="C261" s="121">
        <v>1.25</v>
      </c>
      <c r="D261" s="96" t="s">
        <v>114</v>
      </c>
      <c r="E261" s="120">
        <f>Lead!E60</f>
        <v>240</v>
      </c>
      <c r="F261" s="120">
        <f>C261*E261</f>
        <v>300</v>
      </c>
      <c r="G261" s="121"/>
      <c r="H261" s="121"/>
      <c r="I261" s="121"/>
      <c r="J261" s="121"/>
    </row>
    <row r="262" spans="1:10" s="149" customFormat="1">
      <c r="B262" s="15" t="s">
        <v>154</v>
      </c>
      <c r="C262" s="121">
        <v>1.25</v>
      </c>
      <c r="D262" s="96" t="s">
        <v>114</v>
      </c>
      <c r="E262" s="120">
        <f>Lead!E54</f>
        <v>220</v>
      </c>
      <c r="F262" s="120">
        <f>C262*E262</f>
        <v>275</v>
      </c>
      <c r="G262" s="121"/>
      <c r="H262" s="121"/>
      <c r="I262" s="121"/>
      <c r="J262" s="121"/>
    </row>
    <row r="263" spans="1:10" s="149" customFormat="1" ht="13.5" customHeight="1">
      <c r="B263" s="3" t="s">
        <v>322</v>
      </c>
      <c r="C263" s="121"/>
      <c r="D263" s="96" t="s">
        <v>116</v>
      </c>
      <c r="E263" s="96">
        <f>SUM(F259:F262)</f>
        <v>1521.5340000000001</v>
      </c>
      <c r="F263" s="96">
        <f>E263*0.075</f>
        <v>114.11505000000001</v>
      </c>
      <c r="G263" s="121"/>
      <c r="H263" s="121"/>
      <c r="I263" s="121"/>
      <c r="J263" s="121"/>
    </row>
    <row r="264" spans="1:10" s="149" customFormat="1">
      <c r="B264" s="63" t="s">
        <v>323</v>
      </c>
      <c r="C264" s="121"/>
      <c r="D264" s="96" t="s">
        <v>116</v>
      </c>
      <c r="E264" s="96">
        <f>SUM(F259:F262)</f>
        <v>1521.5340000000001</v>
      </c>
      <c r="F264" s="96">
        <f>E264*0.075</f>
        <v>114.11505000000001</v>
      </c>
      <c r="G264" s="121"/>
      <c r="H264" s="121"/>
      <c r="I264" s="121"/>
      <c r="J264" s="121"/>
    </row>
    <row r="265" spans="1:10" s="149" customFormat="1">
      <c r="B265" s="15" t="s">
        <v>117</v>
      </c>
      <c r="C265" s="121"/>
      <c r="D265" s="121"/>
      <c r="E265" s="121"/>
      <c r="F265" s="120">
        <f>SUM(F259:F264)</f>
        <v>1749.7641000000003</v>
      </c>
      <c r="G265" s="121"/>
      <c r="H265" s="121"/>
      <c r="I265" s="121"/>
      <c r="J265" s="121"/>
    </row>
    <row r="266" spans="1:10" s="149" customFormat="1">
      <c r="B266" s="15" t="s">
        <v>60</v>
      </c>
      <c r="C266" s="121"/>
      <c r="D266" s="121"/>
      <c r="E266" s="121"/>
      <c r="F266" s="120">
        <f>F265/7.8</f>
        <v>224.32873076923082</v>
      </c>
      <c r="G266" s="121"/>
      <c r="H266" s="121"/>
      <c r="I266" s="121"/>
      <c r="J266" s="121"/>
    </row>
    <row r="267" spans="1:10" s="149" customFormat="1">
      <c r="B267" s="15" t="s">
        <v>429</v>
      </c>
      <c r="C267" s="121"/>
      <c r="D267" s="121"/>
      <c r="E267" s="121"/>
      <c r="F267" s="210">
        <f>F266*1%</f>
        <v>2.2432873076923081</v>
      </c>
      <c r="G267" s="121"/>
      <c r="H267" s="121"/>
      <c r="I267" s="121"/>
      <c r="J267" s="121"/>
    </row>
    <row r="268" spans="1:10" s="149" customFormat="1">
      <c r="C268" s="121"/>
      <c r="D268" s="121"/>
      <c r="E268" s="121"/>
      <c r="F268" s="120">
        <f>SUM(F266:F267)</f>
        <v>226.57201807692311</v>
      </c>
      <c r="G268" s="121"/>
      <c r="H268" s="121"/>
      <c r="I268" s="121"/>
      <c r="J268" s="121"/>
    </row>
    <row r="269" spans="1:10" s="149" customFormat="1">
      <c r="C269" s="121"/>
      <c r="D269" s="121"/>
      <c r="E269" s="777" t="s">
        <v>120</v>
      </c>
      <c r="F269" s="777">
        <f>ROUND(F268,1)</f>
        <v>226.6</v>
      </c>
      <c r="G269" s="121"/>
      <c r="H269" s="121"/>
      <c r="I269" s="121"/>
      <c r="J269" s="121"/>
    </row>
    <row r="270" spans="1:10" s="149" customFormat="1">
      <c r="C270" s="121"/>
      <c r="D270" s="121"/>
      <c r="E270" s="121"/>
      <c r="F270" s="121"/>
      <c r="G270" s="121"/>
      <c r="H270" s="121"/>
      <c r="I270" s="121"/>
      <c r="J270" s="121"/>
    </row>
    <row r="271" spans="1:10" s="20" customFormat="1">
      <c r="A271" s="98" t="s">
        <v>38</v>
      </c>
      <c r="B271" s="15" t="s">
        <v>71</v>
      </c>
      <c r="C271" s="16"/>
      <c r="D271" s="96" t="s">
        <v>161</v>
      </c>
      <c r="E271" s="777"/>
      <c r="F271" s="777"/>
      <c r="G271" s="4"/>
      <c r="H271" s="4"/>
    </row>
    <row r="272" spans="1:10" s="20" customFormat="1">
      <c r="A272" s="5"/>
      <c r="B272" s="15" t="s">
        <v>157</v>
      </c>
      <c r="C272" s="16"/>
      <c r="D272" s="16"/>
      <c r="E272" s="16"/>
      <c r="F272" s="16">
        <f>F268</f>
        <v>226.57201807692311</v>
      </c>
      <c r="G272" s="4"/>
      <c r="H272" s="4"/>
    </row>
    <row r="273" spans="1:10" s="20" customFormat="1">
      <c r="A273" s="5"/>
      <c r="B273" s="15" t="s">
        <v>277</v>
      </c>
      <c r="C273" s="96"/>
      <c r="D273" s="96" t="s">
        <v>116</v>
      </c>
      <c r="E273" s="96">
        <f>F268</f>
        <v>226.57201807692311</v>
      </c>
      <c r="F273" s="96">
        <f>E273*0.2</f>
        <v>45.314403615384627</v>
      </c>
      <c r="G273" s="4"/>
      <c r="H273" s="4"/>
    </row>
    <row r="274" spans="1:10" s="20" customFormat="1">
      <c r="A274" s="5"/>
      <c r="B274" s="15" t="s">
        <v>117</v>
      </c>
      <c r="C274" s="96"/>
      <c r="D274" s="96"/>
      <c r="E274" s="96"/>
      <c r="F274" s="96">
        <f>SUM(F272:F273)</f>
        <v>271.88642169230775</v>
      </c>
      <c r="G274" s="4"/>
      <c r="H274" s="4"/>
    </row>
    <row r="275" spans="1:10" s="20" customFormat="1">
      <c r="A275" s="5"/>
      <c r="B275" s="45"/>
      <c r="C275" s="777"/>
      <c r="D275" s="777"/>
      <c r="E275" s="777" t="s">
        <v>120</v>
      </c>
      <c r="F275" s="777">
        <f>ROUND(F274,1)</f>
        <v>271.89999999999998</v>
      </c>
      <c r="G275" s="4"/>
      <c r="H275" s="4"/>
    </row>
    <row r="276" spans="1:10" s="20" customFormat="1">
      <c r="A276" s="5" t="s">
        <v>39</v>
      </c>
      <c r="B276" s="64" t="s">
        <v>267</v>
      </c>
      <c r="C276" s="777"/>
      <c r="D276" s="96" t="s">
        <v>161</v>
      </c>
      <c r="E276" s="777"/>
      <c r="F276" s="777"/>
      <c r="G276" s="4"/>
      <c r="H276" s="4"/>
    </row>
    <row r="277" spans="1:10" s="20" customFormat="1">
      <c r="A277" s="5"/>
      <c r="B277" s="15" t="s">
        <v>278</v>
      </c>
      <c r="C277" s="16"/>
      <c r="D277" s="16"/>
      <c r="E277" s="16"/>
      <c r="F277" s="16">
        <f>F274</f>
        <v>271.88642169230775</v>
      </c>
      <c r="G277" s="4"/>
      <c r="H277" s="4"/>
    </row>
    <row r="278" spans="1:10" s="20" customFormat="1">
      <c r="A278" s="5"/>
      <c r="B278" s="15" t="s">
        <v>279</v>
      </c>
      <c r="C278" s="96"/>
      <c r="D278" s="96" t="s">
        <v>116</v>
      </c>
      <c r="E278" s="96">
        <f>F274</f>
        <v>271.88642169230775</v>
      </c>
      <c r="F278" s="96">
        <f>E278*0.2</f>
        <v>54.37728433846155</v>
      </c>
      <c r="G278" s="4"/>
      <c r="H278" s="4"/>
    </row>
    <row r="279" spans="1:10" s="20" customFormat="1">
      <c r="A279" s="5"/>
      <c r="B279" s="15" t="s">
        <v>117</v>
      </c>
      <c r="C279" s="96"/>
      <c r="D279" s="96"/>
      <c r="E279" s="96"/>
      <c r="F279" s="96">
        <f>SUM(F277:F278)</f>
        <v>326.2637060307693</v>
      </c>
      <c r="G279" s="4"/>
      <c r="H279" s="4"/>
    </row>
    <row r="280" spans="1:10" s="20" customFormat="1">
      <c r="A280" s="5"/>
      <c r="B280" s="45"/>
      <c r="C280" s="777"/>
      <c r="D280" s="777"/>
      <c r="E280" s="777" t="s">
        <v>120</v>
      </c>
      <c r="F280" s="777">
        <f>ROUND(F279,1)</f>
        <v>326.3</v>
      </c>
      <c r="G280" s="4"/>
      <c r="H280" s="4"/>
    </row>
    <row r="281" spans="1:10" s="149" customFormat="1">
      <c r="C281" s="121"/>
      <c r="D281" s="121"/>
      <c r="E281" s="121"/>
      <c r="F281" s="121"/>
      <c r="G281" s="121"/>
      <c r="H281" s="121"/>
      <c r="I281" s="121"/>
      <c r="J281" s="121"/>
    </row>
    <row r="282" spans="1:10" s="149" customFormat="1">
      <c r="C282" s="121"/>
      <c r="D282" s="121"/>
      <c r="E282" s="121"/>
      <c r="F282" s="121"/>
      <c r="G282" s="121"/>
      <c r="H282" s="121"/>
      <c r="I282" s="121"/>
      <c r="J282" s="121"/>
    </row>
    <row r="283" spans="1:10" s="149" customFormat="1" ht="30" customHeight="1">
      <c r="A283" s="133" t="s">
        <v>470</v>
      </c>
      <c r="B283" s="380" t="s">
        <v>1042</v>
      </c>
      <c r="C283" s="96" t="s">
        <v>161</v>
      </c>
      <c r="D283" s="96"/>
      <c r="E283" s="96"/>
      <c r="F283" s="16"/>
      <c r="G283" s="121"/>
      <c r="H283" s="121"/>
      <c r="I283" s="121"/>
      <c r="J283" s="121"/>
    </row>
    <row r="284" spans="1:10" s="149" customFormat="1">
      <c r="B284" s="15" t="s">
        <v>284</v>
      </c>
      <c r="C284" s="16"/>
      <c r="D284" s="16"/>
      <c r="E284" s="16"/>
      <c r="F284" s="16"/>
      <c r="G284" s="121"/>
      <c r="H284" s="121"/>
      <c r="I284" s="121"/>
      <c r="J284" s="121"/>
    </row>
    <row r="285" spans="1:10" s="149" customFormat="1">
      <c r="B285" s="15" t="s">
        <v>70</v>
      </c>
      <c r="C285" s="16"/>
      <c r="D285" s="16"/>
      <c r="E285" s="16"/>
      <c r="F285" s="16"/>
      <c r="G285" s="121"/>
      <c r="H285" s="121"/>
      <c r="I285" s="121"/>
      <c r="J285" s="121"/>
    </row>
    <row r="286" spans="1:10" s="149" customFormat="1">
      <c r="B286" s="99" t="s">
        <v>131</v>
      </c>
      <c r="C286" s="16"/>
      <c r="D286" s="16"/>
      <c r="E286" s="16"/>
      <c r="F286" s="16"/>
      <c r="G286" s="121"/>
      <c r="H286" s="121"/>
      <c r="I286" s="121"/>
      <c r="J286" s="121"/>
    </row>
    <row r="287" spans="1:10" s="149" customFormat="1">
      <c r="B287" s="15" t="s">
        <v>285</v>
      </c>
      <c r="C287" s="96">
        <v>0.218</v>
      </c>
      <c r="D287" s="96" t="s">
        <v>123</v>
      </c>
      <c r="E287" s="96">
        <v>18823</v>
      </c>
      <c r="F287" s="96">
        <f>E287*C287</f>
        <v>4103.4139999999998</v>
      </c>
      <c r="G287" s="121"/>
      <c r="H287" s="121"/>
      <c r="I287" s="121"/>
      <c r="J287" s="121"/>
    </row>
    <row r="288" spans="1:10" s="149" customFormat="1">
      <c r="B288" s="15" t="s">
        <v>286</v>
      </c>
      <c r="C288" s="96">
        <v>15.2</v>
      </c>
      <c r="D288" s="96" t="s">
        <v>41</v>
      </c>
      <c r="E288" s="96">
        <v>100</v>
      </c>
      <c r="F288" s="96">
        <f>E288*C288</f>
        <v>1520</v>
      </c>
      <c r="G288" s="121"/>
      <c r="H288" s="121"/>
      <c r="I288" s="121"/>
      <c r="J288" s="121"/>
    </row>
    <row r="289" spans="1:10" s="149" customFormat="1">
      <c r="B289" s="15" t="s">
        <v>287</v>
      </c>
      <c r="C289" s="96">
        <v>8</v>
      </c>
      <c r="D289" s="96" t="s">
        <v>41</v>
      </c>
      <c r="E289" s="96">
        <v>100</v>
      </c>
      <c r="F289" s="96">
        <f>E289*C289</f>
        <v>800</v>
      </c>
      <c r="G289" s="121"/>
      <c r="H289" s="121"/>
      <c r="I289" s="121"/>
      <c r="J289" s="121"/>
    </row>
    <row r="290" spans="1:10" s="149" customFormat="1">
      <c r="B290" s="15" t="s">
        <v>42</v>
      </c>
      <c r="C290" s="96">
        <v>0.45600000000000002</v>
      </c>
      <c r="D290" s="96" t="s">
        <v>43</v>
      </c>
      <c r="E290" s="96">
        <f>'[1]Revised Analysis'!E147</f>
        <v>169</v>
      </c>
      <c r="F290" s="96">
        <f>E290/1.25*C290</f>
        <v>61.651199999999996</v>
      </c>
      <c r="G290" s="121"/>
      <c r="H290" s="121"/>
      <c r="I290" s="121"/>
      <c r="J290" s="121"/>
    </row>
    <row r="291" spans="1:10" s="149" customFormat="1">
      <c r="B291" s="15" t="s">
        <v>117</v>
      </c>
      <c r="C291" s="16"/>
      <c r="D291" s="16"/>
      <c r="E291" s="16"/>
      <c r="F291" s="96">
        <f>SUM(F287:F290)</f>
        <v>6485.0652</v>
      </c>
      <c r="G291" s="121"/>
      <c r="H291" s="121"/>
      <c r="I291" s="121"/>
      <c r="J291" s="121"/>
    </row>
    <row r="292" spans="1:10" s="149" customFormat="1">
      <c r="B292" s="15" t="s">
        <v>175</v>
      </c>
      <c r="C292" s="16"/>
      <c r="D292" s="16"/>
      <c r="E292" s="16"/>
      <c r="F292" s="96">
        <f>F291/10</f>
        <v>648.50652000000002</v>
      </c>
      <c r="G292" s="121"/>
      <c r="H292" s="121"/>
      <c r="I292" s="121"/>
      <c r="J292" s="121"/>
    </row>
    <row r="293" spans="1:10" s="149" customFormat="1">
      <c r="B293" s="99" t="s">
        <v>137</v>
      </c>
      <c r="C293" s="16"/>
      <c r="D293" s="16"/>
      <c r="E293" s="16"/>
      <c r="F293" s="16"/>
      <c r="G293" s="121"/>
      <c r="H293" s="121"/>
      <c r="I293" s="121"/>
      <c r="J293" s="121"/>
    </row>
    <row r="294" spans="1:10" s="149" customFormat="1">
      <c r="B294" s="15" t="s">
        <v>44</v>
      </c>
      <c r="C294" s="96" t="s">
        <v>45</v>
      </c>
      <c r="D294" s="96" t="s">
        <v>114</v>
      </c>
      <c r="E294" s="96">
        <f>Lead!E60</f>
        <v>240</v>
      </c>
      <c r="F294" s="96">
        <f>E294*C294</f>
        <v>660</v>
      </c>
      <c r="G294" s="121"/>
      <c r="H294" s="121"/>
      <c r="I294" s="121"/>
      <c r="J294" s="121"/>
    </row>
    <row r="295" spans="1:10" s="149" customFormat="1">
      <c r="B295" s="15" t="s">
        <v>154</v>
      </c>
      <c r="C295" s="96" t="s">
        <v>45</v>
      </c>
      <c r="D295" s="96" t="s">
        <v>114</v>
      </c>
      <c r="E295" s="96">
        <f>Lead!E54</f>
        <v>220</v>
      </c>
      <c r="F295" s="96">
        <f>E295*C295</f>
        <v>605</v>
      </c>
      <c r="G295" s="121"/>
      <c r="H295" s="121"/>
      <c r="I295" s="121"/>
      <c r="J295" s="121"/>
    </row>
    <row r="296" spans="1:10" s="149" customFormat="1">
      <c r="B296" s="3" t="s">
        <v>322</v>
      </c>
      <c r="C296" s="16"/>
      <c r="D296" s="96" t="s">
        <v>116</v>
      </c>
      <c r="E296" s="96">
        <f>SUM(F292:F295)</f>
        <v>1913.5065199999999</v>
      </c>
      <c r="F296" s="96">
        <f>E296*0.075</f>
        <v>143.51298899999998</v>
      </c>
      <c r="G296" s="121"/>
      <c r="H296" s="121"/>
      <c r="I296" s="121"/>
      <c r="J296" s="121"/>
    </row>
    <row r="297" spans="1:10" s="149" customFormat="1">
      <c r="B297" s="63" t="s">
        <v>323</v>
      </c>
      <c r="C297" s="16"/>
      <c r="D297" s="96" t="s">
        <v>116</v>
      </c>
      <c r="E297" s="96">
        <f>SUM(F292:F295)</f>
        <v>1913.5065199999999</v>
      </c>
      <c r="F297" s="96">
        <f>E297*0.075</f>
        <v>143.51298899999998</v>
      </c>
      <c r="G297" s="121"/>
      <c r="H297" s="121"/>
      <c r="I297" s="121"/>
      <c r="J297" s="121"/>
    </row>
    <row r="298" spans="1:10" s="149" customFormat="1">
      <c r="B298" s="15" t="s">
        <v>117</v>
      </c>
      <c r="C298" s="16"/>
      <c r="D298" s="16"/>
      <c r="E298" s="16"/>
      <c r="F298" s="96">
        <f>SUM(F292:F297)</f>
        <v>2200.5324979999996</v>
      </c>
      <c r="G298" s="121"/>
      <c r="H298" s="121"/>
      <c r="I298" s="121"/>
      <c r="J298" s="121"/>
    </row>
    <row r="299" spans="1:10" s="149" customFormat="1">
      <c r="B299" s="15" t="s">
        <v>288</v>
      </c>
      <c r="C299" s="16"/>
      <c r="D299" s="16"/>
      <c r="E299" s="16"/>
      <c r="F299" s="96">
        <f>F298/4.2</f>
        <v>523.93630904761892</v>
      </c>
      <c r="G299" s="121"/>
      <c r="H299" s="121"/>
      <c r="I299" s="121"/>
      <c r="J299" s="121"/>
    </row>
    <row r="300" spans="1:10" s="149" customFormat="1">
      <c r="B300" s="15" t="s">
        <v>429</v>
      </c>
      <c r="C300" s="16"/>
      <c r="D300" s="16"/>
      <c r="E300" s="16"/>
      <c r="F300" s="96">
        <f>F299*1%</f>
        <v>5.2393630904761892</v>
      </c>
      <c r="G300" s="121"/>
      <c r="H300" s="121"/>
      <c r="I300" s="121"/>
      <c r="J300" s="121"/>
    </row>
    <row r="301" spans="1:10" s="149" customFormat="1">
      <c r="B301" s="15"/>
      <c r="C301" s="16"/>
      <c r="D301" s="16"/>
      <c r="E301" s="16"/>
      <c r="F301" s="778">
        <f>SUM(F299:F300)</f>
        <v>529.17567213809514</v>
      </c>
      <c r="G301" s="121"/>
      <c r="H301" s="121"/>
      <c r="I301" s="121"/>
      <c r="J301" s="121"/>
    </row>
    <row r="302" spans="1:10" s="149" customFormat="1">
      <c r="B302" s="45"/>
      <c r="C302" s="777"/>
      <c r="D302" s="777"/>
      <c r="E302" s="777" t="s">
        <v>120</v>
      </c>
      <c r="F302" s="777">
        <f>ROUND(F301,1)</f>
        <v>529.20000000000005</v>
      </c>
      <c r="G302" s="121"/>
      <c r="H302" s="121"/>
      <c r="I302" s="121"/>
      <c r="J302" s="121"/>
    </row>
    <row r="303" spans="1:10" s="149" customFormat="1">
      <c r="C303" s="121"/>
      <c r="D303" s="121"/>
      <c r="E303" s="121"/>
      <c r="F303" s="121"/>
      <c r="G303" s="121"/>
      <c r="H303" s="121"/>
      <c r="I303" s="121"/>
      <c r="J303" s="121"/>
    </row>
    <row r="304" spans="1:10" s="20" customFormat="1">
      <c r="A304" s="98" t="s">
        <v>38</v>
      </c>
      <c r="B304" s="15" t="s">
        <v>71</v>
      </c>
      <c r="C304" s="16"/>
      <c r="D304" s="96" t="s">
        <v>161</v>
      </c>
      <c r="E304" s="777"/>
      <c r="F304" s="777"/>
      <c r="G304" s="4"/>
      <c r="H304" s="4"/>
    </row>
    <row r="305" spans="1:10" s="20" customFormat="1">
      <c r="A305" s="5"/>
      <c r="B305" s="15" t="s">
        <v>157</v>
      </c>
      <c r="C305" s="16"/>
      <c r="D305" s="16"/>
      <c r="E305" s="16"/>
      <c r="F305" s="16">
        <f>F301</f>
        <v>529.17567213809514</v>
      </c>
      <c r="G305" s="4"/>
      <c r="H305" s="4"/>
    </row>
    <row r="306" spans="1:10" s="20" customFormat="1">
      <c r="A306" s="5"/>
      <c r="B306" s="15" t="s">
        <v>277</v>
      </c>
      <c r="C306" s="96"/>
      <c r="D306" s="96" t="s">
        <v>116</v>
      </c>
      <c r="E306" s="96">
        <f>F301</f>
        <v>529.17567213809514</v>
      </c>
      <c r="F306" s="96">
        <f>E306*0.2</f>
        <v>105.83513442761904</v>
      </c>
      <c r="G306" s="4"/>
      <c r="H306" s="4"/>
    </row>
    <row r="307" spans="1:10" s="20" customFormat="1">
      <c r="A307" s="5"/>
      <c r="B307" s="15" t="s">
        <v>117</v>
      </c>
      <c r="C307" s="96"/>
      <c r="D307" s="96"/>
      <c r="E307" s="96"/>
      <c r="F307" s="96">
        <f>SUM(F305:F306)</f>
        <v>635.01080656571412</v>
      </c>
      <c r="G307" s="4"/>
      <c r="H307" s="4"/>
    </row>
    <row r="308" spans="1:10" s="20" customFormat="1">
      <c r="A308" s="5"/>
      <c r="B308" s="45"/>
      <c r="C308" s="777"/>
      <c r="D308" s="777"/>
      <c r="E308" s="777" t="s">
        <v>120</v>
      </c>
      <c r="F308" s="777">
        <f>ROUND(F307,1)</f>
        <v>635</v>
      </c>
      <c r="G308" s="4"/>
      <c r="H308" s="4"/>
    </row>
    <row r="309" spans="1:10" s="20" customFormat="1">
      <c r="A309" s="5" t="s">
        <v>39</v>
      </c>
      <c r="B309" s="64" t="s">
        <v>267</v>
      </c>
      <c r="C309" s="777"/>
      <c r="D309" s="96" t="s">
        <v>161</v>
      </c>
      <c r="E309" s="777"/>
      <c r="F309" s="777"/>
      <c r="G309" s="4"/>
      <c r="H309" s="4"/>
    </row>
    <row r="310" spans="1:10" s="20" customFormat="1">
      <c r="A310" s="5"/>
      <c r="B310" s="15" t="s">
        <v>278</v>
      </c>
      <c r="C310" s="16"/>
      <c r="D310" s="16"/>
      <c r="E310" s="16"/>
      <c r="F310" s="16">
        <f>F307</f>
        <v>635.01080656571412</v>
      </c>
      <c r="G310" s="4"/>
      <c r="H310" s="4"/>
    </row>
    <row r="311" spans="1:10" s="20" customFormat="1">
      <c r="A311" s="5"/>
      <c r="B311" s="15" t="s">
        <v>279</v>
      </c>
      <c r="C311" s="96"/>
      <c r="D311" s="96" t="s">
        <v>116</v>
      </c>
      <c r="E311" s="96">
        <f>F307</f>
        <v>635.01080656571412</v>
      </c>
      <c r="F311" s="96">
        <f>E311*0.2</f>
        <v>127.00216131314284</v>
      </c>
      <c r="G311" s="4"/>
      <c r="H311" s="4"/>
    </row>
    <row r="312" spans="1:10" s="20" customFormat="1">
      <c r="A312" s="5"/>
      <c r="B312" s="15" t="s">
        <v>117</v>
      </c>
      <c r="C312" s="96"/>
      <c r="D312" s="96"/>
      <c r="E312" s="96"/>
      <c r="F312" s="96">
        <f>SUM(F310:F311)</f>
        <v>762.0129678788569</v>
      </c>
      <c r="G312" s="4"/>
      <c r="H312" s="4"/>
    </row>
    <row r="313" spans="1:10" s="20" customFormat="1">
      <c r="A313" s="5"/>
      <c r="B313" s="45"/>
      <c r="C313" s="777"/>
      <c r="D313" s="777"/>
      <c r="E313" s="777" t="s">
        <v>120</v>
      </c>
      <c r="F313" s="777">
        <f>ROUND(F312,1)</f>
        <v>762</v>
      </c>
      <c r="G313" s="4"/>
      <c r="H313" s="4"/>
    </row>
    <row r="314" spans="1:10" s="149" customFormat="1">
      <c r="C314" s="121"/>
      <c r="D314" s="121"/>
      <c r="E314" s="121"/>
      <c r="F314" s="121"/>
      <c r="G314" s="121"/>
      <c r="H314" s="121"/>
      <c r="I314" s="121"/>
      <c r="J314" s="121"/>
    </row>
    <row r="315" spans="1:10" s="149" customFormat="1" ht="25.5">
      <c r="A315" s="133" t="s">
        <v>1044</v>
      </c>
      <c r="B315" s="380" t="s">
        <v>1043</v>
      </c>
      <c r="C315" s="96" t="s">
        <v>161</v>
      </c>
      <c r="D315" s="96"/>
      <c r="E315" s="96"/>
      <c r="F315" s="16"/>
      <c r="G315" s="121"/>
      <c r="H315" s="121"/>
      <c r="I315" s="121"/>
      <c r="J315" s="121"/>
    </row>
    <row r="316" spans="1:10" s="149" customFormat="1">
      <c r="B316" s="15" t="s">
        <v>291</v>
      </c>
      <c r="C316" s="777"/>
      <c r="D316" s="777"/>
      <c r="E316" s="777"/>
      <c r="F316" s="777"/>
      <c r="G316" s="121"/>
      <c r="H316" s="121"/>
      <c r="I316" s="121"/>
      <c r="J316" s="121"/>
    </row>
    <row r="317" spans="1:10" s="149" customFormat="1">
      <c r="B317" s="15" t="s">
        <v>70</v>
      </c>
      <c r="C317" s="777"/>
      <c r="D317" s="777"/>
      <c r="E317" s="777"/>
      <c r="F317" s="777"/>
      <c r="G317" s="121"/>
      <c r="H317" s="121"/>
      <c r="I317" s="121"/>
      <c r="J317" s="121"/>
    </row>
    <row r="318" spans="1:10" s="149" customFormat="1">
      <c r="B318" s="99" t="s">
        <v>131</v>
      </c>
      <c r="C318" s="777"/>
      <c r="D318" s="777"/>
      <c r="E318" s="777"/>
      <c r="F318" s="777"/>
      <c r="G318" s="121"/>
      <c r="H318" s="121"/>
      <c r="I318" s="121"/>
      <c r="J318" s="121"/>
    </row>
    <row r="319" spans="1:10" s="149" customFormat="1">
      <c r="B319" s="15" t="s">
        <v>84</v>
      </c>
      <c r="C319" s="96">
        <v>0.95399999999999996</v>
      </c>
      <c r="D319" s="96" t="s">
        <v>123</v>
      </c>
      <c r="E319" s="96">
        <v>18823</v>
      </c>
      <c r="F319" s="96">
        <f>E319*C319</f>
        <v>17957.142</v>
      </c>
      <c r="G319" s="121"/>
      <c r="H319" s="121"/>
      <c r="I319" s="121"/>
      <c r="J319" s="121"/>
    </row>
    <row r="320" spans="1:10" s="149" customFormat="1">
      <c r="B320" s="15" t="s">
        <v>40</v>
      </c>
      <c r="C320" s="96">
        <v>0.26900000000000002</v>
      </c>
      <c r="D320" s="96" t="s">
        <v>130</v>
      </c>
      <c r="E320" s="96">
        <f>E319</f>
        <v>18823</v>
      </c>
      <c r="F320" s="96">
        <f>E320*C320</f>
        <v>5063.3870000000006</v>
      </c>
      <c r="G320" s="121"/>
      <c r="H320" s="121"/>
      <c r="I320" s="121"/>
      <c r="J320" s="121"/>
    </row>
    <row r="321" spans="1:10" s="149" customFormat="1">
      <c r="B321" s="15" t="s">
        <v>85</v>
      </c>
      <c r="C321" s="96">
        <v>100.8</v>
      </c>
      <c r="D321" s="96" t="s">
        <v>86</v>
      </c>
      <c r="E321" s="96">
        <v>75</v>
      </c>
      <c r="F321" s="96">
        <f>E321*C321</f>
        <v>7560</v>
      </c>
      <c r="G321" s="121"/>
      <c r="H321" s="121"/>
      <c r="I321" s="121"/>
      <c r="J321" s="121"/>
    </row>
    <row r="322" spans="1:10" s="149" customFormat="1">
      <c r="B322" s="15" t="s">
        <v>42</v>
      </c>
      <c r="C322" s="96">
        <v>2.4609999999999999</v>
      </c>
      <c r="D322" s="96" t="s">
        <v>43</v>
      </c>
      <c r="E322" s="96">
        <f>[1]ANALYSIS!E347</f>
        <v>169</v>
      </c>
      <c r="F322" s="96">
        <f>E322/1.25*C322</f>
        <v>332.72719999999993</v>
      </c>
      <c r="G322" s="121"/>
      <c r="H322" s="121"/>
      <c r="I322" s="121"/>
      <c r="J322" s="121"/>
    </row>
    <row r="323" spans="1:10" s="149" customFormat="1">
      <c r="B323" s="15" t="s">
        <v>117</v>
      </c>
      <c r="C323" s="16"/>
      <c r="D323" s="16"/>
      <c r="E323" s="16"/>
      <c r="F323" s="96">
        <f>SUM(F319:F322)</f>
        <v>30913.256200000003</v>
      </c>
      <c r="G323" s="121"/>
      <c r="H323" s="121"/>
      <c r="I323" s="121"/>
      <c r="J323" s="121"/>
    </row>
    <row r="324" spans="1:10" s="149" customFormat="1">
      <c r="B324" s="15" t="s">
        <v>175</v>
      </c>
      <c r="C324" s="16"/>
      <c r="D324" s="16"/>
      <c r="E324" s="16"/>
      <c r="F324" s="96">
        <f>F323/10</f>
        <v>3091.3256200000005</v>
      </c>
      <c r="G324" s="121"/>
      <c r="H324" s="121"/>
      <c r="I324" s="121"/>
      <c r="J324" s="121"/>
    </row>
    <row r="325" spans="1:10" s="149" customFormat="1">
      <c r="B325" s="365" t="s">
        <v>137</v>
      </c>
      <c r="C325" s="777"/>
      <c r="D325" s="777"/>
      <c r="E325" s="777"/>
      <c r="F325" s="777"/>
      <c r="G325" s="121"/>
      <c r="H325" s="121"/>
      <c r="I325" s="121"/>
      <c r="J325" s="121"/>
    </row>
    <row r="326" spans="1:10" s="149" customFormat="1">
      <c r="B326" s="61" t="s">
        <v>44</v>
      </c>
      <c r="C326" s="96">
        <v>13.5</v>
      </c>
      <c r="D326" s="96" t="s">
        <v>114</v>
      </c>
      <c r="E326" s="96">
        <f>Lead!E60</f>
        <v>240</v>
      </c>
      <c r="F326" s="96">
        <f>E326*C326</f>
        <v>3240</v>
      </c>
      <c r="G326" s="121"/>
      <c r="H326" s="121"/>
      <c r="I326" s="121"/>
      <c r="J326" s="121"/>
    </row>
    <row r="327" spans="1:10" s="149" customFormat="1">
      <c r="B327" s="61" t="s">
        <v>154</v>
      </c>
      <c r="C327" s="96">
        <v>13.5</v>
      </c>
      <c r="D327" s="96" t="s">
        <v>114</v>
      </c>
      <c r="E327" s="96">
        <f>Lead!E54</f>
        <v>220</v>
      </c>
      <c r="F327" s="96">
        <f>E327*C327</f>
        <v>2970</v>
      </c>
      <c r="G327" s="121"/>
      <c r="H327" s="121"/>
      <c r="I327" s="121"/>
      <c r="J327" s="121"/>
    </row>
    <row r="328" spans="1:10" s="149" customFormat="1">
      <c r="B328" s="3" t="s">
        <v>322</v>
      </c>
      <c r="C328" s="16"/>
      <c r="D328" s="96" t="s">
        <v>116</v>
      </c>
      <c r="E328" s="96">
        <f>SUM(F324:F327)</f>
        <v>9301.3256199999996</v>
      </c>
      <c r="F328" s="96">
        <f>E328*0.075</f>
        <v>697.59942149999995</v>
      </c>
      <c r="G328" s="121"/>
      <c r="H328" s="121"/>
      <c r="I328" s="121"/>
      <c r="J328" s="121"/>
    </row>
    <row r="329" spans="1:10" s="149" customFormat="1">
      <c r="B329" s="63" t="s">
        <v>323</v>
      </c>
      <c r="C329" s="16"/>
      <c r="D329" s="96" t="s">
        <v>116</v>
      </c>
      <c r="E329" s="96">
        <f>SUM(F324:F327)</f>
        <v>9301.3256199999996</v>
      </c>
      <c r="F329" s="96">
        <f>E329*0.075</f>
        <v>697.59942149999995</v>
      </c>
      <c r="G329" s="121"/>
      <c r="H329" s="121"/>
      <c r="I329" s="121"/>
      <c r="J329" s="121"/>
    </row>
    <row r="330" spans="1:10" s="149" customFormat="1">
      <c r="B330" s="15" t="s">
        <v>117</v>
      </c>
      <c r="C330" s="16"/>
      <c r="D330" s="16"/>
      <c r="E330" s="16"/>
      <c r="F330" s="96">
        <f>SUM(F324:F329)</f>
        <v>10696.524462999998</v>
      </c>
      <c r="G330" s="121"/>
      <c r="H330" s="121"/>
      <c r="I330" s="121"/>
      <c r="J330" s="121"/>
    </row>
    <row r="331" spans="1:10" s="149" customFormat="1">
      <c r="B331" s="62" t="s">
        <v>60</v>
      </c>
      <c r="C331" s="16"/>
      <c r="D331" s="16"/>
      <c r="E331" s="16"/>
      <c r="F331" s="96">
        <f>F330/23.9</f>
        <v>447.55332481171541</v>
      </c>
      <c r="G331" s="121"/>
      <c r="H331" s="121"/>
      <c r="I331" s="121"/>
      <c r="J331" s="121"/>
    </row>
    <row r="332" spans="1:10" s="149" customFormat="1">
      <c r="B332" s="15" t="s">
        <v>429</v>
      </c>
      <c r="C332" s="16"/>
      <c r="D332" s="16"/>
      <c r="E332" s="16"/>
      <c r="F332" s="96">
        <f>F331*1%</f>
        <v>4.4755332481171539</v>
      </c>
      <c r="G332" s="121"/>
      <c r="H332" s="121"/>
      <c r="I332" s="121"/>
      <c r="J332" s="121"/>
    </row>
    <row r="333" spans="1:10" s="149" customFormat="1">
      <c r="B333" s="15"/>
      <c r="C333" s="16"/>
      <c r="D333" s="16"/>
      <c r="E333" s="16"/>
      <c r="F333" s="778">
        <f>SUM(F331:F332)</f>
        <v>452.02885805983254</v>
      </c>
      <c r="G333" s="121"/>
      <c r="H333" s="121"/>
      <c r="I333" s="121"/>
      <c r="J333" s="121"/>
    </row>
    <row r="334" spans="1:10" s="149" customFormat="1">
      <c r="B334" s="45"/>
      <c r="C334" s="777"/>
      <c r="D334" s="777"/>
      <c r="E334" s="777" t="s">
        <v>120</v>
      </c>
      <c r="F334" s="777">
        <f>ROUND(F333,1)</f>
        <v>452</v>
      </c>
      <c r="G334" s="121"/>
      <c r="H334" s="121"/>
      <c r="I334" s="121"/>
      <c r="J334" s="121"/>
    </row>
    <row r="335" spans="1:10" s="20" customFormat="1">
      <c r="A335" s="98" t="s">
        <v>38</v>
      </c>
      <c r="B335" s="15" t="s">
        <v>71</v>
      </c>
      <c r="C335" s="16"/>
      <c r="D335" s="96" t="s">
        <v>161</v>
      </c>
      <c r="E335" s="777"/>
      <c r="F335" s="777"/>
      <c r="G335" s="4"/>
      <c r="H335" s="4"/>
    </row>
    <row r="336" spans="1:10" s="20" customFormat="1">
      <c r="A336" s="5"/>
      <c r="B336" s="15" t="s">
        <v>157</v>
      </c>
      <c r="C336" s="16"/>
      <c r="D336" s="16"/>
      <c r="E336" s="16"/>
      <c r="F336" s="16">
        <f>F333</f>
        <v>452.02885805983254</v>
      </c>
      <c r="G336" s="4"/>
      <c r="H336" s="4"/>
    </row>
    <row r="337" spans="1:10" s="20" customFormat="1">
      <c r="A337" s="5"/>
      <c r="B337" s="15" t="s">
        <v>277</v>
      </c>
      <c r="C337" s="96"/>
      <c r="D337" s="96" t="s">
        <v>116</v>
      </c>
      <c r="E337" s="96">
        <f>F333</f>
        <v>452.02885805983254</v>
      </c>
      <c r="F337" s="96">
        <f>E337*0.2</f>
        <v>90.405771611966514</v>
      </c>
      <c r="G337" s="4"/>
      <c r="H337" s="4"/>
    </row>
    <row r="338" spans="1:10" s="20" customFormat="1">
      <c r="A338" s="5"/>
      <c r="B338" s="15" t="s">
        <v>117</v>
      </c>
      <c r="C338" s="96"/>
      <c r="D338" s="96"/>
      <c r="E338" s="96"/>
      <c r="F338" s="96">
        <f>SUM(F336:F337)</f>
        <v>542.43462967179903</v>
      </c>
      <c r="G338" s="4"/>
      <c r="H338" s="4"/>
    </row>
    <row r="339" spans="1:10" s="20" customFormat="1">
      <c r="A339" s="5"/>
      <c r="B339" s="45"/>
      <c r="C339" s="777"/>
      <c r="D339" s="777"/>
      <c r="E339" s="777" t="s">
        <v>120</v>
      </c>
      <c r="F339" s="777">
        <f>ROUND(F338,1)</f>
        <v>542.4</v>
      </c>
      <c r="G339" s="4"/>
      <c r="H339" s="4"/>
    </row>
    <row r="340" spans="1:10" s="20" customFormat="1">
      <c r="A340" s="5" t="s">
        <v>39</v>
      </c>
      <c r="B340" s="64" t="s">
        <v>267</v>
      </c>
      <c r="C340" s="777"/>
      <c r="D340" s="96" t="s">
        <v>161</v>
      </c>
      <c r="E340" s="777"/>
      <c r="F340" s="777"/>
      <c r="G340" s="4"/>
      <c r="H340" s="4"/>
    </row>
    <row r="341" spans="1:10" s="20" customFormat="1">
      <c r="A341" s="5"/>
      <c r="B341" s="15" t="s">
        <v>278</v>
      </c>
      <c r="C341" s="16"/>
      <c r="D341" s="16"/>
      <c r="E341" s="16"/>
      <c r="F341" s="16">
        <f>F338</f>
        <v>542.43462967179903</v>
      </c>
      <c r="G341" s="4"/>
      <c r="H341" s="4"/>
    </row>
    <row r="342" spans="1:10" s="20" customFormat="1">
      <c r="A342" s="5"/>
      <c r="B342" s="15" t="s">
        <v>279</v>
      </c>
      <c r="C342" s="96"/>
      <c r="D342" s="96" t="s">
        <v>116</v>
      </c>
      <c r="E342" s="96">
        <f>F338</f>
        <v>542.43462967179903</v>
      </c>
      <c r="F342" s="96">
        <f>E342*0.2</f>
        <v>108.48692593435982</v>
      </c>
      <c r="G342" s="4"/>
      <c r="H342" s="4"/>
    </row>
    <row r="343" spans="1:10" s="20" customFormat="1">
      <c r="A343" s="5"/>
      <c r="B343" s="15" t="s">
        <v>117</v>
      </c>
      <c r="C343" s="96"/>
      <c r="D343" s="96"/>
      <c r="E343" s="96"/>
      <c r="F343" s="96">
        <f>SUM(F341:F342)</f>
        <v>650.92155560615879</v>
      </c>
      <c r="G343" s="4"/>
      <c r="H343" s="4"/>
    </row>
    <row r="344" spans="1:10" s="20" customFormat="1">
      <c r="A344" s="5"/>
      <c r="B344" s="45"/>
      <c r="C344" s="777"/>
      <c r="D344" s="777"/>
      <c r="E344" s="777" t="s">
        <v>120</v>
      </c>
      <c r="F344" s="777">
        <f>ROUND(F343,1)</f>
        <v>650.9</v>
      </c>
      <c r="G344" s="4"/>
      <c r="H344" s="4"/>
    </row>
    <row r="345" spans="1:10" s="149" customFormat="1" ht="25.5" hidden="1">
      <c r="A345" s="133">
        <v>11</v>
      </c>
      <c r="B345" s="99" t="s">
        <v>905</v>
      </c>
      <c r="C345" s="4"/>
      <c r="D345" s="138" t="s">
        <v>130</v>
      </c>
      <c r="E345" s="4"/>
      <c r="F345" s="4"/>
      <c r="G345" s="121"/>
      <c r="H345" s="121"/>
      <c r="I345" s="121"/>
      <c r="J345" s="121"/>
    </row>
    <row r="346" spans="1:10" s="149" customFormat="1" hidden="1">
      <c r="B346" s="99" t="s">
        <v>131</v>
      </c>
      <c r="C346" s="4"/>
      <c r="D346" s="4"/>
      <c r="E346" s="4"/>
      <c r="F346" s="4"/>
      <c r="G346" s="121"/>
      <c r="H346" s="121"/>
      <c r="I346" s="121"/>
      <c r="J346" s="121"/>
    </row>
    <row r="347" spans="1:10" s="149" customFormat="1" hidden="1">
      <c r="B347" s="15" t="s">
        <v>141</v>
      </c>
      <c r="C347" s="138" t="s">
        <v>142</v>
      </c>
      <c r="D347" s="138" t="s">
        <v>123</v>
      </c>
      <c r="E347" s="96">
        <f>Lead!E11</f>
        <v>1168</v>
      </c>
      <c r="F347" s="785">
        <f>E347*C347</f>
        <v>1051.2</v>
      </c>
      <c r="G347" s="121"/>
      <c r="H347" s="121"/>
      <c r="I347" s="121"/>
      <c r="J347" s="121"/>
    </row>
    <row r="348" spans="1:10" s="149" customFormat="1" hidden="1">
      <c r="B348" s="15" t="s">
        <v>143</v>
      </c>
      <c r="C348" s="138" t="s">
        <v>126</v>
      </c>
      <c r="D348" s="138" t="s">
        <v>123</v>
      </c>
      <c r="E348" s="96">
        <f>Lead!E20</f>
        <v>55</v>
      </c>
      <c r="F348" s="785">
        <f>E348*C348</f>
        <v>24.75</v>
      </c>
      <c r="G348" s="121"/>
      <c r="H348" s="121"/>
      <c r="I348" s="121"/>
      <c r="J348" s="121"/>
    </row>
    <row r="349" spans="1:10" s="149" customFormat="1" hidden="1">
      <c r="B349" s="15" t="s">
        <v>33</v>
      </c>
      <c r="C349" s="138" t="s">
        <v>144</v>
      </c>
      <c r="D349" s="138" t="s">
        <v>127</v>
      </c>
      <c r="E349" s="96">
        <f>Lead!E29</f>
        <v>650</v>
      </c>
      <c r="F349" s="785">
        <f>E349*C349</f>
        <v>2099.5</v>
      </c>
      <c r="G349" s="121"/>
      <c r="H349" s="121"/>
      <c r="I349" s="121"/>
      <c r="J349" s="121"/>
    </row>
    <row r="350" spans="1:10" s="149" customFormat="1" hidden="1">
      <c r="B350" s="15" t="s">
        <v>137</v>
      </c>
      <c r="C350" s="4"/>
      <c r="D350" s="4"/>
      <c r="E350" s="16"/>
      <c r="F350" s="785"/>
      <c r="G350" s="121"/>
      <c r="H350" s="121"/>
      <c r="I350" s="121"/>
      <c r="J350" s="121"/>
    </row>
    <row r="351" spans="1:10" s="149" customFormat="1" hidden="1">
      <c r="B351" s="15" t="s">
        <v>145</v>
      </c>
      <c r="C351" s="138" t="s">
        <v>146</v>
      </c>
      <c r="D351" s="138" t="s">
        <v>114</v>
      </c>
      <c r="E351" s="96">
        <f>Lead!E58</f>
        <v>240</v>
      </c>
      <c r="F351" s="785">
        <f>E351*C351</f>
        <v>163.20000000000002</v>
      </c>
      <c r="G351" s="121"/>
      <c r="H351" s="121"/>
      <c r="I351" s="121"/>
      <c r="J351" s="121"/>
    </row>
    <row r="352" spans="1:10" s="149" customFormat="1" hidden="1">
      <c r="B352" s="15" t="s">
        <v>113</v>
      </c>
      <c r="C352" s="138" t="s">
        <v>125</v>
      </c>
      <c r="D352" s="138" t="s">
        <v>114</v>
      </c>
      <c r="E352" s="96">
        <f>Lead!E47</f>
        <v>200</v>
      </c>
      <c r="F352" s="785">
        <f>E352*C352</f>
        <v>360</v>
      </c>
      <c r="G352" s="121"/>
      <c r="H352" s="121"/>
      <c r="I352" s="121"/>
      <c r="J352" s="121"/>
    </row>
    <row r="353" spans="1:10" s="149" customFormat="1" hidden="1">
      <c r="B353" s="15" t="s">
        <v>115</v>
      </c>
      <c r="C353" s="138" t="s">
        <v>147</v>
      </c>
      <c r="D353" s="138" t="s">
        <v>114</v>
      </c>
      <c r="E353" s="96">
        <f>Lead!E48</f>
        <v>200</v>
      </c>
      <c r="F353" s="785">
        <f>E353*C353</f>
        <v>280</v>
      </c>
      <c r="G353" s="121"/>
      <c r="H353" s="121"/>
      <c r="I353" s="121"/>
      <c r="J353" s="121"/>
    </row>
    <row r="354" spans="1:10" s="149" customFormat="1" ht="25.5" hidden="1">
      <c r="B354" s="15" t="s">
        <v>148</v>
      </c>
      <c r="C354" s="138" t="s">
        <v>147</v>
      </c>
      <c r="D354" s="138" t="s">
        <v>114</v>
      </c>
      <c r="E354" s="96">
        <f>Lead!E47</f>
        <v>200</v>
      </c>
      <c r="F354" s="785">
        <f>E354*C354</f>
        <v>280</v>
      </c>
      <c r="G354" s="121"/>
      <c r="H354" s="121"/>
      <c r="I354" s="121"/>
      <c r="J354" s="121"/>
    </row>
    <row r="355" spans="1:10" s="149" customFormat="1" hidden="1">
      <c r="B355" s="15" t="s">
        <v>494</v>
      </c>
      <c r="C355" s="4"/>
      <c r="D355" s="138" t="s">
        <v>116</v>
      </c>
      <c r="E355" s="785">
        <f>SUM(F347:F354)</f>
        <v>4258.6499999999996</v>
      </c>
      <c r="F355" s="785">
        <f>E355*0.15</f>
        <v>638.7974999999999</v>
      </c>
      <c r="G355" s="121"/>
      <c r="H355" s="121"/>
      <c r="I355" s="121"/>
      <c r="J355" s="121"/>
    </row>
    <row r="356" spans="1:10" s="149" customFormat="1" hidden="1">
      <c r="B356" s="15" t="s">
        <v>117</v>
      </c>
      <c r="C356" s="4"/>
      <c r="D356" s="4"/>
      <c r="E356" s="4"/>
      <c r="F356" s="786">
        <f>SUM(F347:F355)</f>
        <v>4897.4474999999993</v>
      </c>
      <c r="G356" s="121"/>
      <c r="H356" s="121"/>
      <c r="I356" s="121"/>
      <c r="J356" s="121"/>
    </row>
    <row r="357" spans="1:10" s="149" customFormat="1" hidden="1">
      <c r="B357" s="99" t="s">
        <v>124</v>
      </c>
      <c r="C357" s="4"/>
      <c r="D357" s="4"/>
      <c r="E357" s="4"/>
      <c r="F357" s="4"/>
      <c r="G357" s="121"/>
      <c r="H357" s="121"/>
      <c r="I357" s="121"/>
      <c r="J357" s="121"/>
    </row>
    <row r="358" spans="1:10" s="149" customFormat="1" hidden="1">
      <c r="B358" s="15" t="s">
        <v>141</v>
      </c>
      <c r="C358" s="138" t="s">
        <v>149</v>
      </c>
      <c r="D358" s="138" t="s">
        <v>123</v>
      </c>
      <c r="E358" s="96">
        <f>Lead!J11</f>
        <v>850.4</v>
      </c>
      <c r="F358" s="785">
        <f>E358*C358</f>
        <v>765.36</v>
      </c>
      <c r="G358" s="121"/>
      <c r="H358" s="121"/>
      <c r="I358" s="121"/>
      <c r="J358" s="121"/>
    </row>
    <row r="359" spans="1:10" s="149" customFormat="1" hidden="1">
      <c r="B359" s="15" t="s">
        <v>143</v>
      </c>
      <c r="C359" s="138" t="s">
        <v>126</v>
      </c>
      <c r="D359" s="138" t="s">
        <v>123</v>
      </c>
      <c r="E359" s="96">
        <f>Lead!J20</f>
        <v>196.4</v>
      </c>
      <c r="F359" s="785">
        <f>E359*C359</f>
        <v>88.38000000000001</v>
      </c>
      <c r="G359" s="121"/>
      <c r="H359" s="121"/>
      <c r="I359" s="121"/>
      <c r="J359" s="121"/>
    </row>
    <row r="360" spans="1:10" s="149" customFormat="1" hidden="1">
      <c r="B360" s="15" t="s">
        <v>33</v>
      </c>
      <c r="C360" s="138" t="s">
        <v>144</v>
      </c>
      <c r="D360" s="138" t="s">
        <v>127</v>
      </c>
      <c r="E360" s="96">
        <f>Lead!J29</f>
        <v>16.899999999999999</v>
      </c>
      <c r="F360" s="785">
        <f>E360*C360</f>
        <v>54.586999999999996</v>
      </c>
      <c r="G360" s="121"/>
      <c r="H360" s="121"/>
      <c r="I360" s="121"/>
      <c r="J360" s="121"/>
    </row>
    <row r="361" spans="1:10" s="149" customFormat="1" hidden="1">
      <c r="B361" s="3"/>
      <c r="C361" s="787"/>
      <c r="D361" s="4"/>
      <c r="E361" s="4"/>
      <c r="F361" s="381">
        <f>SUM(F356:F360)</f>
        <v>5805.7744999999995</v>
      </c>
      <c r="G361" s="121"/>
      <c r="H361" s="121"/>
      <c r="I361" s="121"/>
      <c r="J361" s="121"/>
    </row>
    <row r="362" spans="1:10" s="149" customFormat="1" hidden="1">
      <c r="B362" s="63" t="s">
        <v>493</v>
      </c>
      <c r="C362" s="138"/>
      <c r="D362" s="138"/>
      <c r="E362" s="138"/>
      <c r="F362" s="785">
        <f>F361*0.01</f>
        <v>58.057744999999997</v>
      </c>
      <c r="G362" s="121"/>
      <c r="H362" s="121"/>
      <c r="I362" s="121"/>
      <c r="J362" s="121"/>
    </row>
    <row r="363" spans="1:10" s="149" customFormat="1" hidden="1">
      <c r="B363" s="63" t="s">
        <v>117</v>
      </c>
      <c r="C363" s="138"/>
      <c r="D363" s="138"/>
      <c r="E363" s="138"/>
      <c r="F363" s="785">
        <f>SUM(F361:F362)</f>
        <v>5863.8322449999996</v>
      </c>
      <c r="G363" s="121"/>
      <c r="H363" s="121"/>
      <c r="I363" s="121"/>
      <c r="J363" s="121"/>
    </row>
    <row r="364" spans="1:10" s="149" customFormat="1" hidden="1">
      <c r="B364" s="45"/>
      <c r="C364" s="787"/>
      <c r="D364" s="787"/>
      <c r="E364" s="787" t="s">
        <v>120</v>
      </c>
      <c r="F364" s="777">
        <f>ROUND(F363,1)</f>
        <v>5863.8</v>
      </c>
      <c r="G364" s="121"/>
      <c r="H364" s="121"/>
      <c r="I364" s="121"/>
      <c r="J364" s="121"/>
    </row>
    <row r="365" spans="1:10" s="149" customFormat="1">
      <c r="B365" s="45"/>
      <c r="C365" s="787"/>
      <c r="D365" s="787"/>
      <c r="E365" s="787"/>
      <c r="F365" s="777"/>
      <c r="G365" s="121"/>
      <c r="H365" s="121"/>
      <c r="I365" s="121"/>
      <c r="J365" s="121"/>
    </row>
    <row r="366" spans="1:10" s="149" customFormat="1">
      <c r="C366" s="121"/>
      <c r="D366" s="121"/>
      <c r="E366" s="121"/>
      <c r="F366" s="121"/>
      <c r="G366" s="121"/>
      <c r="H366" s="121"/>
      <c r="I366" s="121"/>
      <c r="J366" s="121"/>
    </row>
    <row r="367" spans="1:10" s="149" customFormat="1" ht="51">
      <c r="A367" s="133">
        <v>11</v>
      </c>
      <c r="B367" s="129" t="s">
        <v>314</v>
      </c>
      <c r="C367" s="121"/>
      <c r="D367" s="121"/>
      <c r="E367" s="121"/>
      <c r="F367" s="121"/>
      <c r="G367" s="121"/>
      <c r="H367" s="121"/>
      <c r="I367" s="121"/>
      <c r="J367" s="121"/>
    </row>
    <row r="368" spans="1:10" s="149" customFormat="1">
      <c r="B368" s="3" t="s">
        <v>70</v>
      </c>
      <c r="C368" s="777"/>
      <c r="D368" s="777"/>
      <c r="E368" s="777"/>
      <c r="F368" s="777"/>
      <c r="G368" s="121"/>
      <c r="H368" s="121"/>
      <c r="I368" s="121"/>
      <c r="J368" s="121"/>
    </row>
    <row r="369" spans="2:10" s="149" customFormat="1">
      <c r="B369" s="61" t="s">
        <v>271</v>
      </c>
      <c r="C369" s="96">
        <v>1</v>
      </c>
      <c r="D369" s="16" t="s">
        <v>123</v>
      </c>
      <c r="E369" s="96">
        <f>E410</f>
        <v>5341.0208950000015</v>
      </c>
      <c r="F369" s="16">
        <f>E369*C369</f>
        <v>5341.0208950000015</v>
      </c>
      <c r="G369" s="121"/>
      <c r="H369" s="121"/>
      <c r="I369" s="121"/>
      <c r="J369" s="121"/>
    </row>
    <row r="370" spans="2:10" s="149" customFormat="1">
      <c r="B370" s="61" t="s">
        <v>1004</v>
      </c>
      <c r="C370" s="96">
        <v>10</v>
      </c>
      <c r="D370" s="96" t="s">
        <v>32</v>
      </c>
      <c r="E370" s="96">
        <f>F241</f>
        <v>353.1</v>
      </c>
      <c r="F370" s="16">
        <f>E370*C370</f>
        <v>3531</v>
      </c>
      <c r="G370" s="121"/>
      <c r="H370" s="121"/>
      <c r="I370" s="121"/>
      <c r="J370" s="121"/>
    </row>
    <row r="371" spans="2:10" s="149" customFormat="1">
      <c r="B371" s="64" t="s">
        <v>117</v>
      </c>
      <c r="C371" s="777"/>
      <c r="D371" s="777"/>
      <c r="E371" s="777"/>
      <c r="F371" s="777">
        <f>SUM(F369:F370)</f>
        <v>8872.0208950000015</v>
      </c>
      <c r="G371" s="121"/>
      <c r="H371" s="121"/>
      <c r="I371" s="121"/>
      <c r="J371" s="121"/>
    </row>
    <row r="372" spans="2:10" s="149" customFormat="1">
      <c r="B372" s="45"/>
      <c r="C372" s="777"/>
      <c r="D372" s="777"/>
      <c r="E372" s="16" t="s">
        <v>120</v>
      </c>
      <c r="F372" s="777">
        <f>ROUND(F371,1)</f>
        <v>8872</v>
      </c>
      <c r="G372" s="121"/>
      <c r="H372" s="121"/>
      <c r="I372" s="121"/>
      <c r="J372" s="121"/>
    </row>
    <row r="373" spans="2:10" s="149" customFormat="1">
      <c r="B373" s="45"/>
      <c r="C373" s="777"/>
      <c r="D373" s="777"/>
      <c r="E373" s="16"/>
      <c r="F373" s="777"/>
      <c r="G373" s="121"/>
      <c r="H373" s="121"/>
      <c r="I373" s="121"/>
      <c r="J373" s="121"/>
    </row>
    <row r="374" spans="2:10" s="149" customFormat="1">
      <c r="B374" s="3" t="s">
        <v>71</v>
      </c>
      <c r="C374" s="777"/>
      <c r="D374" s="777"/>
      <c r="E374" s="777"/>
      <c r="F374" s="777"/>
      <c r="G374" s="121"/>
      <c r="H374" s="121"/>
      <c r="I374" s="121"/>
      <c r="J374" s="121"/>
    </row>
    <row r="375" spans="2:10" s="149" customFormat="1">
      <c r="B375" s="61" t="s">
        <v>271</v>
      </c>
      <c r="C375" s="96">
        <v>1</v>
      </c>
      <c r="D375" s="16" t="s">
        <v>123</v>
      </c>
      <c r="E375" s="96">
        <f>F80</f>
        <v>5393.3158000000003</v>
      </c>
      <c r="F375" s="16">
        <f>E375*C375</f>
        <v>5393.3158000000003</v>
      </c>
      <c r="G375" s="121"/>
      <c r="H375" s="121"/>
      <c r="I375" s="121"/>
      <c r="J375" s="121"/>
    </row>
    <row r="376" spans="2:10" s="149" customFormat="1">
      <c r="B376" s="61" t="s">
        <v>272</v>
      </c>
      <c r="C376" s="96">
        <v>10</v>
      </c>
      <c r="D376" s="96" t="s">
        <v>32</v>
      </c>
      <c r="E376" s="96">
        <f>F246</f>
        <v>423.7</v>
      </c>
      <c r="F376" s="16">
        <f>E376*C376</f>
        <v>4237</v>
      </c>
      <c r="G376" s="121"/>
      <c r="H376" s="121"/>
      <c r="I376" s="121"/>
      <c r="J376" s="121"/>
    </row>
    <row r="377" spans="2:10" s="149" customFormat="1">
      <c r="B377" s="64" t="s">
        <v>117</v>
      </c>
      <c r="C377" s="777"/>
      <c r="D377" s="777"/>
      <c r="E377" s="777"/>
      <c r="F377" s="777">
        <f>SUM(F375:F376)</f>
        <v>9630.3158000000003</v>
      </c>
      <c r="G377" s="121"/>
      <c r="H377" s="121"/>
      <c r="I377" s="121"/>
      <c r="J377" s="121"/>
    </row>
    <row r="378" spans="2:10" s="149" customFormat="1">
      <c r="B378" s="45"/>
      <c r="C378" s="777"/>
      <c r="D378" s="777"/>
      <c r="E378" s="16" t="s">
        <v>120</v>
      </c>
      <c r="F378" s="777">
        <f>ROUND(F377,1)</f>
        <v>9630.2999999999993</v>
      </c>
      <c r="G378" s="121"/>
      <c r="H378" s="121"/>
      <c r="I378" s="121"/>
      <c r="J378" s="121"/>
    </row>
    <row r="379" spans="2:10" s="149" customFormat="1">
      <c r="B379" s="45"/>
      <c r="C379" s="777"/>
      <c r="D379" s="777"/>
      <c r="E379" s="16"/>
      <c r="F379" s="777"/>
      <c r="G379" s="121"/>
      <c r="H379" s="121"/>
      <c r="I379" s="121"/>
      <c r="J379" s="121"/>
    </row>
    <row r="380" spans="2:10" s="149" customFormat="1">
      <c r="B380" s="3" t="s">
        <v>1050</v>
      </c>
      <c r="C380" s="777"/>
      <c r="D380" s="777"/>
      <c r="E380" s="777"/>
      <c r="F380" s="777"/>
      <c r="G380" s="121"/>
      <c r="H380" s="121"/>
      <c r="I380" s="121"/>
      <c r="J380" s="121"/>
    </row>
    <row r="381" spans="2:10" s="149" customFormat="1">
      <c r="B381" s="61" t="s">
        <v>271</v>
      </c>
      <c r="C381" s="96">
        <v>1</v>
      </c>
      <c r="D381" s="16" t="s">
        <v>123</v>
      </c>
      <c r="E381" s="96">
        <f>F86</f>
        <v>5453.5</v>
      </c>
      <c r="F381" s="16">
        <f>E381*C381</f>
        <v>5453.5</v>
      </c>
      <c r="G381" s="121"/>
      <c r="H381" s="121"/>
      <c r="I381" s="121"/>
      <c r="J381" s="121"/>
    </row>
    <row r="382" spans="2:10" s="149" customFormat="1">
      <c r="B382" s="61" t="s">
        <v>272</v>
      </c>
      <c r="C382" s="96">
        <v>10</v>
      </c>
      <c r="D382" s="96" t="s">
        <v>32</v>
      </c>
      <c r="E382" s="96">
        <f>F251</f>
        <v>508.5</v>
      </c>
      <c r="F382" s="16">
        <f>E382*C382</f>
        <v>5085</v>
      </c>
      <c r="G382" s="121"/>
      <c r="H382" s="121"/>
      <c r="I382" s="121"/>
      <c r="J382" s="121"/>
    </row>
    <row r="383" spans="2:10" s="149" customFormat="1">
      <c r="B383" s="64" t="s">
        <v>117</v>
      </c>
      <c r="C383" s="777"/>
      <c r="D383" s="777"/>
      <c r="E383" s="777"/>
      <c r="F383" s="777">
        <f>SUM(F381:F382)</f>
        <v>10538.5</v>
      </c>
      <c r="G383" s="121"/>
      <c r="H383" s="121"/>
      <c r="I383" s="121"/>
      <c r="J383" s="121"/>
    </row>
    <row r="384" spans="2:10" s="149" customFormat="1">
      <c r="B384" s="45"/>
      <c r="C384" s="777"/>
      <c r="D384" s="777"/>
      <c r="E384" s="16" t="s">
        <v>120</v>
      </c>
      <c r="F384" s="777">
        <f>ROUND(F383,1)</f>
        <v>10538.5</v>
      </c>
      <c r="G384" s="121"/>
      <c r="H384" s="121"/>
      <c r="I384" s="121"/>
      <c r="J384" s="121"/>
    </row>
    <row r="385" spans="1:10" s="149" customFormat="1">
      <c r="B385" s="45"/>
      <c r="C385" s="777"/>
      <c r="D385" s="777"/>
      <c r="E385" s="16"/>
      <c r="F385" s="777"/>
      <c r="G385" s="121"/>
      <c r="H385" s="121"/>
      <c r="I385" s="121"/>
      <c r="J385" s="121"/>
    </row>
    <row r="386" spans="1:10" s="149" customFormat="1">
      <c r="B386" s="45"/>
      <c r="C386" s="777"/>
      <c r="D386" s="777"/>
      <c r="E386" s="16"/>
      <c r="F386" s="777"/>
      <c r="G386" s="121"/>
      <c r="H386" s="121"/>
      <c r="I386" s="121"/>
      <c r="J386" s="121"/>
    </row>
    <row r="387" spans="1:10" s="149" customFormat="1">
      <c r="B387" s="45"/>
      <c r="C387" s="777"/>
      <c r="D387" s="777"/>
      <c r="E387" s="16"/>
      <c r="F387" s="777"/>
      <c r="G387" s="121"/>
      <c r="H387" s="121"/>
      <c r="I387" s="121"/>
      <c r="J387" s="121"/>
    </row>
    <row r="388" spans="1:10" s="149" customFormat="1" ht="51">
      <c r="A388" s="133">
        <v>12</v>
      </c>
      <c r="B388" s="129" t="s">
        <v>1003</v>
      </c>
      <c r="C388" s="777"/>
      <c r="D388" s="777"/>
      <c r="E388" s="16"/>
      <c r="F388" s="777"/>
      <c r="G388" s="121"/>
      <c r="H388" s="121"/>
      <c r="I388" s="121"/>
      <c r="J388" s="121"/>
    </row>
    <row r="389" spans="1:10" s="149" customFormat="1">
      <c r="B389" s="3" t="s">
        <v>70</v>
      </c>
      <c r="C389" s="777"/>
      <c r="D389" s="777"/>
      <c r="E389" s="777"/>
      <c r="F389" s="777"/>
      <c r="G389" s="121"/>
      <c r="H389" s="121"/>
      <c r="I389" s="121"/>
      <c r="J389" s="121"/>
    </row>
    <row r="390" spans="1:10" s="149" customFormat="1">
      <c r="B390" s="61" t="s">
        <v>271</v>
      </c>
      <c r="C390" s="96">
        <v>1</v>
      </c>
      <c r="D390" s="16" t="s">
        <v>123</v>
      </c>
      <c r="E390" s="96">
        <f>E369</f>
        <v>5341.0208950000015</v>
      </c>
      <c r="F390" s="16">
        <f>E390*C390</f>
        <v>5341.0208950000015</v>
      </c>
      <c r="G390" s="121"/>
      <c r="H390" s="121"/>
      <c r="I390" s="121"/>
      <c r="J390" s="121"/>
    </row>
    <row r="391" spans="1:10" s="149" customFormat="1">
      <c r="B391" s="61" t="s">
        <v>272</v>
      </c>
      <c r="C391" s="96">
        <v>9</v>
      </c>
      <c r="D391" s="96" t="s">
        <v>32</v>
      </c>
      <c r="E391" s="96">
        <f>F554</f>
        <v>355.9</v>
      </c>
      <c r="F391" s="16">
        <f>E391*C391</f>
        <v>3203.1</v>
      </c>
      <c r="G391" s="121"/>
      <c r="H391" s="121"/>
      <c r="I391" s="121"/>
      <c r="J391" s="121"/>
    </row>
    <row r="392" spans="1:10" s="149" customFormat="1">
      <c r="B392" s="64" t="s">
        <v>117</v>
      </c>
      <c r="C392" s="777"/>
      <c r="D392" s="777"/>
      <c r="E392" s="777"/>
      <c r="F392" s="777">
        <f>SUM(F390:F391)</f>
        <v>8544.1208950000018</v>
      </c>
      <c r="G392" s="121"/>
      <c r="H392" s="121"/>
      <c r="I392" s="121"/>
      <c r="J392" s="121"/>
    </row>
    <row r="393" spans="1:10" s="149" customFormat="1">
      <c r="B393" s="45"/>
      <c r="C393" s="777"/>
      <c r="D393" s="777"/>
      <c r="E393" s="16" t="s">
        <v>120</v>
      </c>
      <c r="F393" s="777">
        <f>ROUND(F392,1)</f>
        <v>8544.1</v>
      </c>
      <c r="G393" s="121"/>
      <c r="H393" s="121"/>
      <c r="I393" s="121"/>
      <c r="J393" s="121"/>
    </row>
    <row r="394" spans="1:10" s="149" customFormat="1">
      <c r="C394" s="121"/>
      <c r="D394" s="121"/>
      <c r="E394" s="121"/>
      <c r="F394" s="121"/>
      <c r="G394" s="121"/>
      <c r="H394" s="121"/>
      <c r="I394" s="121"/>
      <c r="J394" s="121"/>
    </row>
    <row r="395" spans="1:10" s="149" customFormat="1">
      <c r="B395" s="3" t="s">
        <v>71</v>
      </c>
      <c r="C395" s="777"/>
      <c r="D395" s="777"/>
      <c r="E395" s="777"/>
      <c r="F395" s="777"/>
      <c r="G395" s="121"/>
      <c r="H395" s="121"/>
      <c r="I395" s="121"/>
      <c r="J395" s="121"/>
    </row>
    <row r="396" spans="1:10" s="149" customFormat="1">
      <c r="B396" s="61" t="s">
        <v>271</v>
      </c>
      <c r="C396" s="96">
        <v>1</v>
      </c>
      <c r="D396" s="16" t="s">
        <v>123</v>
      </c>
      <c r="E396" s="96">
        <f>E375</f>
        <v>5393.3158000000003</v>
      </c>
      <c r="F396" s="16">
        <f>E396*C396</f>
        <v>5393.3158000000003</v>
      </c>
      <c r="G396" s="121"/>
      <c r="H396" s="121"/>
      <c r="I396" s="121"/>
      <c r="J396" s="121"/>
    </row>
    <row r="397" spans="1:10" s="149" customFormat="1">
      <c r="B397" s="61" t="s">
        <v>272</v>
      </c>
      <c r="C397" s="96">
        <v>9</v>
      </c>
      <c r="D397" s="96" t="s">
        <v>32</v>
      </c>
      <c r="E397" s="96">
        <f>F559</f>
        <v>427</v>
      </c>
      <c r="F397" s="16">
        <f>E397*C397</f>
        <v>3843</v>
      </c>
      <c r="G397" s="121"/>
      <c r="H397" s="121"/>
      <c r="I397" s="121"/>
      <c r="J397" s="121"/>
    </row>
    <row r="398" spans="1:10" s="149" customFormat="1">
      <c r="B398" s="64" t="s">
        <v>117</v>
      </c>
      <c r="C398" s="777"/>
      <c r="D398" s="777"/>
      <c r="E398" s="777"/>
      <c r="F398" s="777">
        <f>SUM(F396:F397)</f>
        <v>9236.3158000000003</v>
      </c>
      <c r="G398" s="121"/>
      <c r="H398" s="121"/>
      <c r="I398" s="121"/>
      <c r="J398" s="121"/>
    </row>
    <row r="399" spans="1:10" s="149" customFormat="1">
      <c r="B399" s="45"/>
      <c r="C399" s="777"/>
      <c r="D399" s="777"/>
      <c r="E399" s="16" t="s">
        <v>120</v>
      </c>
      <c r="F399" s="777">
        <f>ROUND(F398,1)</f>
        <v>9236.2999999999993</v>
      </c>
      <c r="G399" s="121"/>
      <c r="H399" s="121"/>
      <c r="I399" s="121"/>
      <c r="J399" s="121"/>
    </row>
    <row r="400" spans="1:10" s="149" customFormat="1">
      <c r="B400" s="45"/>
      <c r="C400" s="777"/>
      <c r="D400" s="777"/>
      <c r="E400" s="16"/>
      <c r="F400" s="777"/>
      <c r="G400" s="121"/>
      <c r="H400" s="121"/>
      <c r="I400" s="121"/>
      <c r="J400" s="121"/>
    </row>
    <row r="401" spans="1:10" s="149" customFormat="1">
      <c r="B401" s="3" t="s">
        <v>1050</v>
      </c>
      <c r="C401" s="777"/>
      <c r="D401" s="777"/>
      <c r="E401" s="777"/>
      <c r="F401" s="777"/>
      <c r="G401" s="121"/>
      <c r="H401" s="121"/>
      <c r="I401" s="121"/>
      <c r="J401" s="121"/>
    </row>
    <row r="402" spans="1:10" s="149" customFormat="1">
      <c r="B402" s="61" t="s">
        <v>271</v>
      </c>
      <c r="C402" s="96">
        <v>1</v>
      </c>
      <c r="D402" s="16" t="s">
        <v>123</v>
      </c>
      <c r="E402" s="96">
        <f>E381</f>
        <v>5453.5</v>
      </c>
      <c r="F402" s="16">
        <f>E402*C402</f>
        <v>5453.5</v>
      </c>
      <c r="G402" s="121"/>
      <c r="H402" s="121"/>
      <c r="I402" s="121"/>
      <c r="J402" s="121"/>
    </row>
    <row r="403" spans="1:10" s="149" customFormat="1">
      <c r="B403" s="61" t="s">
        <v>272</v>
      </c>
      <c r="C403" s="96">
        <v>9</v>
      </c>
      <c r="D403" s="96" t="s">
        <v>32</v>
      </c>
      <c r="E403" s="96">
        <f>F564</f>
        <v>512.4</v>
      </c>
      <c r="F403" s="16">
        <f>E403*C403</f>
        <v>4611.5999999999995</v>
      </c>
      <c r="G403" s="121"/>
      <c r="H403" s="121"/>
      <c r="I403" s="121"/>
      <c r="J403" s="121"/>
    </row>
    <row r="404" spans="1:10" s="149" customFormat="1">
      <c r="B404" s="64" t="s">
        <v>117</v>
      </c>
      <c r="C404" s="777"/>
      <c r="D404" s="777"/>
      <c r="E404" s="777"/>
      <c r="F404" s="777">
        <f>SUM(F402:F403)</f>
        <v>10065.099999999999</v>
      </c>
      <c r="G404" s="121"/>
      <c r="H404" s="121"/>
      <c r="I404" s="121"/>
      <c r="J404" s="121"/>
    </row>
    <row r="405" spans="1:10" s="149" customFormat="1">
      <c r="B405" s="45"/>
      <c r="C405" s="777"/>
      <c r="D405" s="777"/>
      <c r="E405" s="16" t="s">
        <v>120</v>
      </c>
      <c r="F405" s="777">
        <f>ROUND(F404,1)</f>
        <v>10065.1</v>
      </c>
      <c r="G405" s="121"/>
      <c r="H405" s="121"/>
      <c r="I405" s="121"/>
      <c r="J405" s="121"/>
    </row>
    <row r="406" spans="1:10" s="149" customFormat="1">
      <c r="C406" s="121"/>
      <c r="D406" s="121"/>
      <c r="E406" s="121"/>
      <c r="F406" s="121"/>
      <c r="G406" s="121"/>
      <c r="H406" s="121"/>
      <c r="I406" s="121"/>
      <c r="J406" s="121"/>
    </row>
    <row r="407" spans="1:10" s="149" customFormat="1">
      <c r="C407" s="121"/>
      <c r="D407" s="121"/>
      <c r="E407" s="121"/>
      <c r="F407" s="121"/>
      <c r="G407" s="121"/>
      <c r="H407" s="121"/>
      <c r="I407" s="121"/>
      <c r="J407" s="121"/>
    </row>
    <row r="408" spans="1:10" s="149" customFormat="1">
      <c r="C408" s="121"/>
      <c r="D408" s="121"/>
      <c r="E408" s="121"/>
      <c r="F408" s="121"/>
      <c r="G408" s="121"/>
      <c r="H408" s="121"/>
      <c r="I408" s="121"/>
      <c r="J408" s="121"/>
    </row>
    <row r="409" spans="1:10" s="149" customFormat="1" ht="51">
      <c r="A409" s="133">
        <v>13</v>
      </c>
      <c r="B409" s="129" t="s">
        <v>554</v>
      </c>
      <c r="C409" s="777"/>
      <c r="D409" s="777"/>
      <c r="E409" s="777"/>
      <c r="F409" s="777"/>
      <c r="G409" s="121"/>
      <c r="H409" s="121"/>
      <c r="I409" s="121"/>
      <c r="J409" s="121"/>
    </row>
    <row r="410" spans="1:10" s="149" customFormat="1">
      <c r="B410" s="61" t="s">
        <v>271</v>
      </c>
      <c r="C410" s="96">
        <v>1</v>
      </c>
      <c r="D410" s="16" t="s">
        <v>123</v>
      </c>
      <c r="E410" s="96">
        <f>F74</f>
        <v>5341.0208950000015</v>
      </c>
      <c r="F410" s="16">
        <f>E410*C410</f>
        <v>5341.0208950000015</v>
      </c>
      <c r="G410" s="121"/>
      <c r="H410" s="121"/>
      <c r="I410" s="121"/>
      <c r="J410" s="121"/>
    </row>
    <row r="411" spans="1:10" s="149" customFormat="1">
      <c r="B411" s="61" t="s">
        <v>272</v>
      </c>
      <c r="C411" s="96">
        <v>1.5</v>
      </c>
      <c r="D411" s="96" t="s">
        <v>32</v>
      </c>
      <c r="E411" s="96">
        <f>'[1]Revised Analysis'!F158</f>
        <v>89.355120483199997</v>
      </c>
      <c r="F411" s="16">
        <f>E411*C411</f>
        <v>134.0326807248</v>
      </c>
      <c r="G411" s="121"/>
      <c r="H411" s="121"/>
      <c r="I411" s="121"/>
      <c r="J411" s="121"/>
    </row>
    <row r="412" spans="1:10" s="149" customFormat="1">
      <c r="B412" s="64" t="s">
        <v>117</v>
      </c>
      <c r="C412" s="777"/>
      <c r="D412" s="777"/>
      <c r="E412" s="777"/>
      <c r="F412" s="777">
        <f>SUM(F410:F411)</f>
        <v>5475.0535757248017</v>
      </c>
      <c r="G412" s="121"/>
      <c r="H412" s="121"/>
      <c r="I412" s="121"/>
      <c r="J412" s="121"/>
    </row>
    <row r="413" spans="1:10" s="149" customFormat="1">
      <c r="B413" s="3" t="s">
        <v>71</v>
      </c>
      <c r="C413" s="777"/>
      <c r="D413" s="777"/>
      <c r="E413" s="777"/>
      <c r="F413" s="777"/>
      <c r="G413" s="121"/>
      <c r="H413" s="121"/>
      <c r="I413" s="121"/>
      <c r="J413" s="121"/>
    </row>
    <row r="414" spans="1:10" s="149" customFormat="1">
      <c r="B414" s="61" t="s">
        <v>271</v>
      </c>
      <c r="C414" s="96">
        <v>1</v>
      </c>
      <c r="D414" s="16" t="s">
        <v>123</v>
      </c>
      <c r="E414" s="96">
        <f>E375</f>
        <v>5393.3158000000003</v>
      </c>
      <c r="F414" s="16">
        <f>E414*C414</f>
        <v>5393.3158000000003</v>
      </c>
      <c r="G414" s="121"/>
      <c r="H414" s="121"/>
      <c r="I414" s="121"/>
      <c r="J414" s="121"/>
    </row>
    <row r="415" spans="1:10" s="149" customFormat="1">
      <c r="B415" s="61" t="s">
        <v>272</v>
      </c>
      <c r="C415" s="96">
        <v>1.5</v>
      </c>
      <c r="D415" s="96" t="s">
        <v>32</v>
      </c>
      <c r="E415" s="96">
        <f>F216</f>
        <v>111.5</v>
      </c>
      <c r="F415" s="16">
        <f>E415*C415</f>
        <v>167.25</v>
      </c>
      <c r="G415" s="121"/>
      <c r="H415" s="121"/>
      <c r="I415" s="121"/>
      <c r="J415" s="121"/>
    </row>
    <row r="416" spans="1:10" s="149" customFormat="1">
      <c r="B416" s="64" t="s">
        <v>117</v>
      </c>
      <c r="C416" s="777"/>
      <c r="D416" s="777"/>
      <c r="E416" s="777"/>
      <c r="F416" s="777">
        <f>SUM(F414:F415)</f>
        <v>5560.5658000000003</v>
      </c>
      <c r="G416" s="121"/>
      <c r="H416" s="121"/>
      <c r="I416" s="121"/>
      <c r="J416" s="121"/>
    </row>
    <row r="417" spans="1:10" s="149" customFormat="1">
      <c r="B417" s="45"/>
      <c r="C417" s="777"/>
      <c r="D417" s="777"/>
      <c r="E417" s="16" t="s">
        <v>120</v>
      </c>
      <c r="F417" s="777">
        <f>ROUND(F416,1)</f>
        <v>5560.6</v>
      </c>
      <c r="G417" s="121"/>
      <c r="H417" s="121"/>
      <c r="I417" s="121"/>
      <c r="J417" s="121"/>
    </row>
    <row r="418" spans="1:10" s="149" customFormat="1">
      <c r="B418" s="45"/>
      <c r="C418" s="777"/>
      <c r="D418" s="777"/>
      <c r="E418" s="16"/>
      <c r="F418" s="777"/>
      <c r="G418" s="121"/>
      <c r="H418" s="121"/>
      <c r="I418" s="121"/>
      <c r="J418" s="121"/>
    </row>
    <row r="419" spans="1:10" s="149" customFormat="1">
      <c r="B419" s="3" t="s">
        <v>1050</v>
      </c>
      <c r="C419" s="777"/>
      <c r="D419" s="777"/>
      <c r="E419" s="777"/>
      <c r="F419" s="777"/>
      <c r="G419" s="121"/>
      <c r="H419" s="121"/>
      <c r="I419" s="121"/>
      <c r="J419" s="121"/>
    </row>
    <row r="420" spans="1:10" s="149" customFormat="1">
      <c r="B420" s="61" t="s">
        <v>271</v>
      </c>
      <c r="C420" s="96">
        <v>1</v>
      </c>
      <c r="D420" s="16" t="s">
        <v>123</v>
      </c>
      <c r="E420" s="96">
        <f>E381</f>
        <v>5453.5</v>
      </c>
      <c r="F420" s="16">
        <f>E420*C420</f>
        <v>5453.5</v>
      </c>
      <c r="G420" s="121"/>
      <c r="H420" s="121"/>
      <c r="I420" s="121"/>
      <c r="J420" s="121"/>
    </row>
    <row r="421" spans="1:10" s="149" customFormat="1">
      <c r="B421" s="61" t="s">
        <v>272</v>
      </c>
      <c r="C421" s="96">
        <v>1.5</v>
      </c>
      <c r="D421" s="96" t="s">
        <v>32</v>
      </c>
      <c r="E421" s="96">
        <f>F221</f>
        <v>133.80000000000001</v>
      </c>
      <c r="F421" s="16">
        <f>E421*C421</f>
        <v>200.70000000000002</v>
      </c>
      <c r="G421" s="121"/>
      <c r="H421" s="121"/>
      <c r="I421" s="121"/>
      <c r="J421" s="121"/>
    </row>
    <row r="422" spans="1:10" s="149" customFormat="1">
      <c r="B422" s="64" t="s">
        <v>117</v>
      </c>
      <c r="C422" s="777"/>
      <c r="D422" s="777"/>
      <c r="E422" s="777"/>
      <c r="F422" s="777">
        <f>SUM(F420:F421)</f>
        <v>5654.2</v>
      </c>
      <c r="G422" s="121"/>
      <c r="H422" s="121"/>
      <c r="I422" s="121"/>
      <c r="J422" s="121"/>
    </row>
    <row r="423" spans="1:10" s="149" customFormat="1">
      <c r="B423" s="45"/>
      <c r="C423" s="777"/>
      <c r="D423" s="777"/>
      <c r="E423" s="16" t="s">
        <v>120</v>
      </c>
      <c r="F423" s="777">
        <f>ROUND(F422,1)</f>
        <v>5654.2</v>
      </c>
      <c r="G423" s="121"/>
      <c r="H423" s="121"/>
      <c r="I423" s="121"/>
      <c r="J423" s="121"/>
    </row>
    <row r="424" spans="1:10" s="149" customFormat="1">
      <c r="C424" s="121"/>
      <c r="D424" s="121"/>
      <c r="E424" s="121"/>
      <c r="F424" s="121"/>
      <c r="G424" s="121"/>
      <c r="H424" s="121"/>
      <c r="I424" s="121"/>
      <c r="J424" s="121"/>
    </row>
    <row r="425" spans="1:10" s="149" customFormat="1" ht="51">
      <c r="A425" s="133">
        <v>14</v>
      </c>
      <c r="B425" s="129" t="s">
        <v>555</v>
      </c>
      <c r="C425" s="777"/>
      <c r="D425" s="777"/>
      <c r="E425" s="777"/>
      <c r="F425" s="777"/>
      <c r="G425" s="121"/>
      <c r="H425" s="121"/>
      <c r="I425" s="121"/>
      <c r="J425" s="121"/>
    </row>
    <row r="426" spans="1:10" s="149" customFormat="1">
      <c r="B426" s="61" t="s">
        <v>271</v>
      </c>
      <c r="C426" s="96">
        <v>1</v>
      </c>
      <c r="D426" s="16" t="s">
        <v>123</v>
      </c>
      <c r="E426" s="96">
        <f>'[1]Revised Analysis'!E164</f>
        <v>5426.3426650000001</v>
      </c>
      <c r="F426" s="16">
        <f>E426*C426</f>
        <v>5426.3426650000001</v>
      </c>
      <c r="G426" s="121"/>
      <c r="H426" s="121"/>
      <c r="I426" s="121"/>
      <c r="J426" s="121"/>
    </row>
    <row r="427" spans="1:10" s="149" customFormat="1">
      <c r="B427" s="61" t="s">
        <v>272</v>
      </c>
      <c r="C427" s="96">
        <v>5</v>
      </c>
      <c r="D427" s="96" t="s">
        <v>32</v>
      </c>
      <c r="E427" s="96">
        <f>'[1]Revised Analysis'!E165</f>
        <v>89.355120483199997</v>
      </c>
      <c r="F427" s="16">
        <f>E427*C427</f>
        <v>446.77560241599997</v>
      </c>
      <c r="G427" s="121"/>
      <c r="H427" s="121"/>
      <c r="I427" s="121"/>
      <c r="J427" s="121"/>
    </row>
    <row r="428" spans="1:10" s="149" customFormat="1">
      <c r="B428" s="64" t="s">
        <v>117</v>
      </c>
      <c r="C428" s="777"/>
      <c r="D428" s="777"/>
      <c r="E428" s="777"/>
      <c r="F428" s="777">
        <f>SUM(F426:F427)</f>
        <v>5873.118267416</v>
      </c>
      <c r="G428" s="121"/>
      <c r="H428" s="121"/>
      <c r="I428" s="121"/>
      <c r="J428" s="121"/>
    </row>
    <row r="429" spans="1:10" s="149" customFormat="1">
      <c r="B429" s="45"/>
      <c r="C429" s="777"/>
      <c r="D429" s="777"/>
      <c r="E429" s="16" t="s">
        <v>120</v>
      </c>
      <c r="F429" s="777">
        <f>ROUND(F428,1)</f>
        <v>5873.1</v>
      </c>
      <c r="G429" s="121"/>
      <c r="H429" s="121"/>
      <c r="I429" s="121"/>
      <c r="J429" s="121"/>
    </row>
    <row r="430" spans="1:10" s="149" customFormat="1">
      <c r="C430" s="121"/>
      <c r="D430" s="121"/>
      <c r="E430" s="121"/>
      <c r="F430" s="121"/>
      <c r="G430" s="121"/>
      <c r="H430" s="121"/>
      <c r="I430" s="121"/>
      <c r="J430" s="121"/>
    </row>
    <row r="431" spans="1:10" s="149" customFormat="1">
      <c r="B431" s="3" t="s">
        <v>71</v>
      </c>
      <c r="C431" s="777"/>
      <c r="D431" s="777"/>
      <c r="E431" s="777"/>
      <c r="F431" s="777"/>
      <c r="G431" s="121"/>
      <c r="H431" s="121"/>
      <c r="I431" s="121"/>
      <c r="J431" s="121"/>
    </row>
    <row r="432" spans="1:10" s="149" customFormat="1">
      <c r="B432" s="61" t="s">
        <v>271</v>
      </c>
      <c r="C432" s="96">
        <v>1</v>
      </c>
      <c r="D432" s="16" t="s">
        <v>123</v>
      </c>
      <c r="E432" s="96">
        <f>E414</f>
        <v>5393.3158000000003</v>
      </c>
      <c r="F432" s="16">
        <f>E432*C432</f>
        <v>5393.3158000000003</v>
      </c>
      <c r="G432" s="121"/>
      <c r="H432" s="121"/>
      <c r="I432" s="121"/>
      <c r="J432" s="121"/>
    </row>
    <row r="433" spans="1:10" s="149" customFormat="1">
      <c r="B433" s="61" t="s">
        <v>272</v>
      </c>
      <c r="C433" s="96">
        <v>5</v>
      </c>
      <c r="D433" s="96" t="s">
        <v>32</v>
      </c>
      <c r="E433" s="96">
        <f>F216</f>
        <v>111.5</v>
      </c>
      <c r="F433" s="16">
        <f>E433*C433</f>
        <v>557.5</v>
      </c>
      <c r="G433" s="121"/>
      <c r="H433" s="121"/>
      <c r="I433" s="121"/>
      <c r="J433" s="121"/>
    </row>
    <row r="434" spans="1:10" s="149" customFormat="1">
      <c r="B434" s="64" t="s">
        <v>117</v>
      </c>
      <c r="C434" s="777"/>
      <c r="D434" s="777"/>
      <c r="E434" s="777"/>
      <c r="F434" s="777">
        <f>SUM(F432:F433)</f>
        <v>5950.8158000000003</v>
      </c>
      <c r="G434" s="121"/>
      <c r="H434" s="121"/>
      <c r="I434" s="121"/>
      <c r="J434" s="121"/>
    </row>
    <row r="435" spans="1:10" s="149" customFormat="1">
      <c r="B435" s="45"/>
      <c r="C435" s="777"/>
      <c r="D435" s="777"/>
      <c r="E435" s="16" t="s">
        <v>120</v>
      </c>
      <c r="F435" s="777">
        <f>ROUND(F434,1)</f>
        <v>5950.8</v>
      </c>
      <c r="G435" s="121"/>
      <c r="H435" s="121"/>
      <c r="I435" s="121"/>
      <c r="J435" s="121"/>
    </row>
    <row r="436" spans="1:10" s="149" customFormat="1">
      <c r="B436" s="45"/>
      <c r="C436" s="777"/>
      <c r="D436" s="777"/>
      <c r="E436" s="16"/>
      <c r="F436" s="777"/>
      <c r="G436" s="121"/>
      <c r="H436" s="121"/>
      <c r="I436" s="121"/>
      <c r="J436" s="121"/>
    </row>
    <row r="437" spans="1:10" s="149" customFormat="1">
      <c r="B437" s="3" t="s">
        <v>1050</v>
      </c>
      <c r="C437" s="777"/>
      <c r="D437" s="777"/>
      <c r="E437" s="777"/>
      <c r="F437" s="777"/>
      <c r="G437" s="121"/>
      <c r="H437" s="121"/>
      <c r="I437" s="121"/>
      <c r="J437" s="121"/>
    </row>
    <row r="438" spans="1:10" s="149" customFormat="1">
      <c r="B438" s="61" t="s">
        <v>271</v>
      </c>
      <c r="C438" s="96">
        <v>1</v>
      </c>
      <c r="D438" s="16" t="s">
        <v>123</v>
      </c>
      <c r="E438" s="96">
        <f>E420</f>
        <v>5453.5</v>
      </c>
      <c r="F438" s="16">
        <f>E438*C438</f>
        <v>5453.5</v>
      </c>
      <c r="G438" s="121"/>
      <c r="H438" s="121"/>
      <c r="I438" s="121"/>
      <c r="J438" s="121"/>
    </row>
    <row r="439" spans="1:10" s="149" customFormat="1">
      <c r="B439" s="61" t="s">
        <v>272</v>
      </c>
      <c r="C439" s="96">
        <v>5</v>
      </c>
      <c r="D439" s="96" t="s">
        <v>32</v>
      </c>
      <c r="E439" s="96">
        <f>F221</f>
        <v>133.80000000000001</v>
      </c>
      <c r="F439" s="16">
        <f>E439*C439</f>
        <v>669</v>
      </c>
      <c r="G439" s="121"/>
      <c r="H439" s="121"/>
      <c r="I439" s="121"/>
      <c r="J439" s="121"/>
    </row>
    <row r="440" spans="1:10" s="149" customFormat="1">
      <c r="B440" s="64" t="s">
        <v>117</v>
      </c>
      <c r="C440" s="777"/>
      <c r="D440" s="777"/>
      <c r="E440" s="777"/>
      <c r="F440" s="777">
        <f>SUM(F438:F439)</f>
        <v>6122.5</v>
      </c>
      <c r="G440" s="121"/>
      <c r="H440" s="121"/>
      <c r="I440" s="121"/>
      <c r="J440" s="121"/>
    </row>
    <row r="441" spans="1:10" s="149" customFormat="1">
      <c r="B441" s="45"/>
      <c r="C441" s="777"/>
      <c r="D441" s="777"/>
      <c r="E441" s="16" t="s">
        <v>120</v>
      </c>
      <c r="F441" s="777">
        <f>ROUND(F440,1)</f>
        <v>6122.5</v>
      </c>
      <c r="G441" s="121"/>
      <c r="H441" s="121"/>
      <c r="I441" s="121"/>
      <c r="J441" s="121"/>
    </row>
    <row r="442" spans="1:10" s="149" customFormat="1">
      <c r="C442" s="121"/>
      <c r="D442" s="121"/>
      <c r="E442" s="121"/>
      <c r="F442" s="121"/>
      <c r="G442" s="121"/>
      <c r="H442" s="121"/>
      <c r="I442" s="121"/>
      <c r="J442" s="121"/>
    </row>
    <row r="443" spans="1:10" s="149" customFormat="1">
      <c r="C443" s="121"/>
      <c r="D443" s="121"/>
      <c r="E443" s="121"/>
      <c r="F443" s="121"/>
      <c r="G443" s="121"/>
      <c r="H443" s="121"/>
      <c r="I443" s="121"/>
      <c r="J443" s="121"/>
    </row>
    <row r="444" spans="1:10" s="149" customFormat="1" ht="51">
      <c r="A444" s="133">
        <v>15</v>
      </c>
      <c r="B444" s="129" t="s">
        <v>1002</v>
      </c>
      <c r="C444" s="777"/>
      <c r="D444" s="777"/>
      <c r="E444" s="777"/>
      <c r="F444" s="777"/>
      <c r="G444" s="121"/>
      <c r="H444" s="121"/>
      <c r="I444" s="121"/>
      <c r="J444" s="121"/>
    </row>
    <row r="445" spans="1:10" s="149" customFormat="1">
      <c r="B445" s="61" t="s">
        <v>271</v>
      </c>
      <c r="C445" s="96">
        <v>1</v>
      </c>
      <c r="D445" s="16" t="s">
        <v>123</v>
      </c>
      <c r="E445" s="96">
        <f>F74</f>
        <v>5341.0208950000015</v>
      </c>
      <c r="F445" s="16">
        <f>E445*C445</f>
        <v>5341.0208950000015</v>
      </c>
      <c r="G445" s="121"/>
      <c r="H445" s="121"/>
      <c r="I445" s="121"/>
      <c r="J445" s="121"/>
    </row>
    <row r="446" spans="1:10" s="149" customFormat="1">
      <c r="B446" s="61" t="s">
        <v>272</v>
      </c>
      <c r="C446" s="96">
        <v>14</v>
      </c>
      <c r="D446" s="96" t="s">
        <v>32</v>
      </c>
      <c r="E446" s="96">
        <f>F269</f>
        <v>226.6</v>
      </c>
      <c r="F446" s="16">
        <f>E446*C446</f>
        <v>3172.4</v>
      </c>
      <c r="G446" s="121"/>
      <c r="H446" s="121"/>
      <c r="I446" s="121"/>
      <c r="J446" s="121"/>
    </row>
    <row r="447" spans="1:10" s="149" customFormat="1">
      <c r="B447" s="64" t="s">
        <v>117</v>
      </c>
      <c r="C447" s="777"/>
      <c r="D447" s="777"/>
      <c r="E447" s="777"/>
      <c r="F447" s="777">
        <f>SUM(F445:F446)</f>
        <v>8513.4208950000011</v>
      </c>
      <c r="G447" s="121"/>
      <c r="H447" s="121"/>
      <c r="I447" s="121"/>
      <c r="J447" s="121"/>
    </row>
    <row r="448" spans="1:10" s="149" customFormat="1">
      <c r="B448" s="45"/>
      <c r="C448" s="777"/>
      <c r="D448" s="777"/>
      <c r="E448" s="16" t="s">
        <v>120</v>
      </c>
      <c r="F448" s="777">
        <f>ROUND(F447,1)</f>
        <v>8513.4</v>
      </c>
      <c r="G448" s="121"/>
      <c r="H448" s="121"/>
      <c r="I448" s="121"/>
      <c r="J448" s="121"/>
    </row>
    <row r="449" spans="1:10" s="149" customFormat="1">
      <c r="C449" s="121"/>
      <c r="D449" s="121"/>
      <c r="E449" s="121"/>
      <c r="F449" s="121"/>
      <c r="G449" s="121"/>
      <c r="H449" s="121"/>
      <c r="I449" s="121"/>
      <c r="J449" s="121"/>
    </row>
    <row r="450" spans="1:10" s="149" customFormat="1">
      <c r="B450" s="3" t="s">
        <v>71</v>
      </c>
      <c r="C450" s="777"/>
      <c r="D450" s="777"/>
      <c r="E450" s="777"/>
      <c r="F450" s="777"/>
      <c r="G450" s="121"/>
      <c r="H450" s="121"/>
      <c r="I450" s="121"/>
      <c r="J450" s="121"/>
    </row>
    <row r="451" spans="1:10" s="149" customFormat="1">
      <c r="B451" s="61" t="s">
        <v>271</v>
      </c>
      <c r="C451" s="96">
        <v>1</v>
      </c>
      <c r="D451" s="16" t="s">
        <v>123</v>
      </c>
      <c r="E451" s="96">
        <f>E432</f>
        <v>5393.3158000000003</v>
      </c>
      <c r="F451" s="16">
        <f>E451*C451</f>
        <v>5393.3158000000003</v>
      </c>
      <c r="G451" s="121"/>
      <c r="H451" s="121"/>
      <c r="I451" s="121"/>
      <c r="J451" s="121"/>
    </row>
    <row r="452" spans="1:10" s="149" customFormat="1">
      <c r="B452" s="61" t="s">
        <v>272</v>
      </c>
      <c r="C452" s="96">
        <v>14</v>
      </c>
      <c r="D452" s="96" t="s">
        <v>32</v>
      </c>
      <c r="E452" s="96">
        <f>F275</f>
        <v>271.89999999999998</v>
      </c>
      <c r="F452" s="16">
        <f>E452*C452</f>
        <v>3806.5999999999995</v>
      </c>
      <c r="G452" s="121"/>
      <c r="H452" s="121"/>
      <c r="I452" s="121"/>
      <c r="J452" s="121"/>
    </row>
    <row r="453" spans="1:10" s="149" customFormat="1">
      <c r="B453" s="64" t="s">
        <v>117</v>
      </c>
      <c r="C453" s="777"/>
      <c r="D453" s="777"/>
      <c r="E453" s="777"/>
      <c r="F453" s="777">
        <f>SUM(F451:F452)</f>
        <v>9199.9157999999989</v>
      </c>
      <c r="G453" s="121"/>
      <c r="H453" s="121"/>
      <c r="I453" s="121"/>
      <c r="J453" s="121"/>
    </row>
    <row r="454" spans="1:10" s="149" customFormat="1">
      <c r="B454" s="45"/>
      <c r="C454" s="777"/>
      <c r="D454" s="777"/>
      <c r="E454" s="16" t="s">
        <v>120</v>
      </c>
      <c r="F454" s="777">
        <f>ROUND(F453,1)</f>
        <v>9199.9</v>
      </c>
      <c r="G454" s="121"/>
      <c r="H454" s="121"/>
      <c r="I454" s="121"/>
      <c r="J454" s="121"/>
    </row>
    <row r="455" spans="1:10" s="149" customFormat="1">
      <c r="B455" s="45"/>
      <c r="C455" s="777"/>
      <c r="D455" s="777"/>
      <c r="E455" s="16"/>
      <c r="F455" s="777"/>
      <c r="G455" s="121"/>
      <c r="H455" s="121"/>
      <c r="I455" s="121"/>
      <c r="J455" s="121"/>
    </row>
    <row r="456" spans="1:10" s="149" customFormat="1">
      <c r="B456" s="3" t="s">
        <v>1050</v>
      </c>
      <c r="C456" s="777"/>
      <c r="D456" s="777"/>
      <c r="E456" s="777"/>
      <c r="F456" s="777"/>
      <c r="G456" s="121"/>
      <c r="H456" s="121"/>
      <c r="I456" s="121"/>
      <c r="J456" s="121"/>
    </row>
    <row r="457" spans="1:10" s="149" customFormat="1">
      <c r="B457" s="61" t="s">
        <v>271</v>
      </c>
      <c r="C457" s="96">
        <v>1</v>
      </c>
      <c r="D457" s="16" t="s">
        <v>123</v>
      </c>
      <c r="E457" s="96">
        <f>E438</f>
        <v>5453.5</v>
      </c>
      <c r="F457" s="16">
        <f>E457*C457</f>
        <v>5453.5</v>
      </c>
      <c r="G457" s="121"/>
      <c r="H457" s="121"/>
      <c r="I457" s="121"/>
      <c r="J457" s="121"/>
    </row>
    <row r="458" spans="1:10" s="149" customFormat="1">
      <c r="B458" s="61" t="s">
        <v>272</v>
      </c>
      <c r="C458" s="96">
        <v>14</v>
      </c>
      <c r="D458" s="96" t="s">
        <v>32</v>
      </c>
      <c r="E458" s="96">
        <f>F280</f>
        <v>326.3</v>
      </c>
      <c r="F458" s="16">
        <f>E458*C458</f>
        <v>4568.2</v>
      </c>
      <c r="G458" s="121"/>
      <c r="H458" s="121"/>
      <c r="I458" s="121"/>
      <c r="J458" s="121"/>
    </row>
    <row r="459" spans="1:10" s="149" customFormat="1">
      <c r="B459" s="64" t="s">
        <v>117</v>
      </c>
      <c r="C459" s="777"/>
      <c r="D459" s="777"/>
      <c r="E459" s="777"/>
      <c r="F459" s="777">
        <f>SUM(F457:F458)</f>
        <v>10021.700000000001</v>
      </c>
      <c r="G459" s="121"/>
      <c r="H459" s="121"/>
      <c r="I459" s="121"/>
      <c r="J459" s="121"/>
    </row>
    <row r="460" spans="1:10" s="149" customFormat="1">
      <c r="B460" s="45"/>
      <c r="C460" s="777"/>
      <c r="D460" s="777"/>
      <c r="E460" s="16" t="s">
        <v>120</v>
      </c>
      <c r="F460" s="777">
        <f>ROUND(F459,1)</f>
        <v>10021.700000000001</v>
      </c>
      <c r="G460" s="121"/>
      <c r="H460" s="121"/>
      <c r="I460" s="121"/>
      <c r="J460" s="121"/>
    </row>
    <row r="461" spans="1:10" s="149" customFormat="1">
      <c r="C461" s="121"/>
      <c r="D461" s="121"/>
      <c r="E461" s="121"/>
      <c r="F461" s="121"/>
      <c r="G461" s="121"/>
      <c r="H461" s="121"/>
      <c r="I461" s="121"/>
      <c r="J461" s="121"/>
    </row>
    <row r="462" spans="1:10" s="149" customFormat="1" ht="51" hidden="1">
      <c r="A462" s="133">
        <v>17</v>
      </c>
      <c r="B462" s="129" t="s">
        <v>1002</v>
      </c>
      <c r="C462" s="777"/>
      <c r="D462" s="777"/>
      <c r="E462" s="777"/>
      <c r="F462" s="777"/>
      <c r="G462" s="121"/>
      <c r="H462" s="121"/>
      <c r="I462" s="121"/>
      <c r="J462" s="121"/>
    </row>
    <row r="463" spans="1:10" s="149" customFormat="1" hidden="1">
      <c r="B463" s="61" t="s">
        <v>271</v>
      </c>
      <c r="C463" s="96">
        <v>6.5000000000000002E-2</v>
      </c>
      <c r="D463" s="16" t="s">
        <v>123</v>
      </c>
      <c r="E463" s="96">
        <f>F74</f>
        <v>5341.0208950000015</v>
      </c>
      <c r="F463" s="16">
        <f>E463*C463</f>
        <v>347.16635817500008</v>
      </c>
      <c r="G463" s="121"/>
      <c r="H463" s="121"/>
      <c r="I463" s="121"/>
      <c r="J463" s="121"/>
    </row>
    <row r="464" spans="1:10" s="149" customFormat="1" hidden="1">
      <c r="B464" s="61" t="s">
        <v>272</v>
      </c>
      <c r="C464" s="96">
        <v>1.1000000000000001</v>
      </c>
      <c r="D464" s="96" t="s">
        <v>32</v>
      </c>
      <c r="E464" s="96">
        <f>F240</f>
        <v>353.10108995111108</v>
      </c>
      <c r="F464" s="16">
        <f>E464*C464</f>
        <v>388.41119894622221</v>
      </c>
      <c r="G464" s="121"/>
      <c r="H464" s="121"/>
      <c r="I464" s="121"/>
      <c r="J464" s="121"/>
    </row>
    <row r="465" spans="1:10" s="149" customFormat="1" hidden="1">
      <c r="B465" s="64" t="s">
        <v>117</v>
      </c>
      <c r="C465" s="777"/>
      <c r="D465" s="777"/>
      <c r="E465" s="777"/>
      <c r="F465" s="777">
        <f>SUM(F463:F464)</f>
        <v>735.5775571212223</v>
      </c>
      <c r="G465" s="121"/>
      <c r="H465" s="121"/>
      <c r="I465" s="121"/>
      <c r="J465" s="121"/>
    </row>
    <row r="466" spans="1:10" s="149" customFormat="1" hidden="1">
      <c r="B466" s="45"/>
      <c r="C466" s="777"/>
      <c r="D466" s="777"/>
      <c r="E466" s="16" t="s">
        <v>120</v>
      </c>
      <c r="F466" s="777">
        <f>ROUND(F465,1)</f>
        <v>735.6</v>
      </c>
      <c r="G466" s="121"/>
      <c r="H466" s="121"/>
      <c r="I466" s="121"/>
      <c r="J466" s="121"/>
    </row>
    <row r="467" spans="1:10" s="149" customFormat="1" hidden="1">
      <c r="C467" s="121"/>
      <c r="D467" s="121"/>
      <c r="E467" s="121"/>
      <c r="F467" s="121"/>
      <c r="G467" s="121"/>
      <c r="H467" s="121"/>
      <c r="I467" s="121"/>
      <c r="J467" s="121"/>
    </row>
    <row r="468" spans="1:10" s="149" customFormat="1" hidden="1">
      <c r="B468" s="3" t="s">
        <v>71</v>
      </c>
      <c r="C468" s="777"/>
      <c r="D468" s="777"/>
      <c r="E468" s="777"/>
      <c r="F468" s="777"/>
      <c r="G468" s="121"/>
      <c r="H468" s="121"/>
      <c r="I468" s="121"/>
      <c r="J468" s="121"/>
    </row>
    <row r="469" spans="1:10" s="149" customFormat="1" hidden="1">
      <c r="B469" s="61" t="s">
        <v>271</v>
      </c>
      <c r="C469" s="96">
        <v>7.0000000000000007E-2</v>
      </c>
      <c r="D469" s="16" t="s">
        <v>123</v>
      </c>
      <c r="E469" s="96">
        <f>E451</f>
        <v>5393.3158000000003</v>
      </c>
      <c r="F469" s="16">
        <f>E469*C469</f>
        <v>377.53210600000006</v>
      </c>
      <c r="G469" s="121"/>
      <c r="H469" s="121"/>
      <c r="I469" s="121"/>
      <c r="J469" s="121"/>
    </row>
    <row r="470" spans="1:10" s="149" customFormat="1" hidden="1">
      <c r="B470" s="61" t="s">
        <v>272</v>
      </c>
      <c r="C470" s="96">
        <v>1.1000000000000001</v>
      </c>
      <c r="D470" s="96" t="s">
        <v>32</v>
      </c>
      <c r="E470" s="96">
        <f>F246</f>
        <v>423.7</v>
      </c>
      <c r="F470" s="16">
        <f>E470*C470</f>
        <v>466.07000000000005</v>
      </c>
      <c r="G470" s="121"/>
      <c r="H470" s="121"/>
      <c r="I470" s="121"/>
      <c r="J470" s="121"/>
    </row>
    <row r="471" spans="1:10" s="149" customFormat="1" hidden="1">
      <c r="B471" s="64" t="s">
        <v>117</v>
      </c>
      <c r="C471" s="777"/>
      <c r="D471" s="777"/>
      <c r="E471" s="777"/>
      <c r="F471" s="777">
        <f>SUM(F469:F470)</f>
        <v>843.60210600000005</v>
      </c>
      <c r="G471" s="121"/>
      <c r="H471" s="121"/>
      <c r="I471" s="121"/>
      <c r="J471" s="121"/>
    </row>
    <row r="472" spans="1:10" s="149" customFormat="1" hidden="1">
      <c r="B472" s="45"/>
      <c r="C472" s="777"/>
      <c r="D472" s="777"/>
      <c r="E472" s="16" t="s">
        <v>120</v>
      </c>
      <c r="F472" s="777">
        <f>ROUND(F471,1)</f>
        <v>843.6</v>
      </c>
      <c r="G472" s="121"/>
      <c r="H472" s="121"/>
      <c r="I472" s="121"/>
      <c r="J472" s="121"/>
    </row>
    <row r="473" spans="1:10" s="149" customFormat="1" hidden="1">
      <c r="B473" s="45"/>
      <c r="C473" s="777"/>
      <c r="D473" s="777"/>
      <c r="E473" s="16"/>
      <c r="F473" s="777"/>
      <c r="G473" s="121"/>
      <c r="H473" s="121"/>
      <c r="I473" s="121"/>
      <c r="J473" s="121"/>
    </row>
    <row r="474" spans="1:10" s="149" customFormat="1" hidden="1">
      <c r="B474" s="3" t="s">
        <v>1050</v>
      </c>
      <c r="C474" s="777"/>
      <c r="D474" s="777"/>
      <c r="E474" s="777"/>
      <c r="F474" s="777"/>
      <c r="G474" s="121"/>
      <c r="H474" s="121"/>
      <c r="I474" s="121"/>
      <c r="J474" s="121"/>
    </row>
    <row r="475" spans="1:10" s="149" customFormat="1" hidden="1">
      <c r="B475" s="61" t="s">
        <v>271</v>
      </c>
      <c r="C475" s="96">
        <v>7.0000000000000007E-2</v>
      </c>
      <c r="D475" s="16" t="s">
        <v>123</v>
      </c>
      <c r="E475" s="96">
        <f>E457</f>
        <v>5453.5</v>
      </c>
      <c r="F475" s="16">
        <f>E475*C475</f>
        <v>381.74500000000006</v>
      </c>
      <c r="G475" s="121"/>
      <c r="H475" s="121"/>
      <c r="I475" s="121"/>
      <c r="J475" s="121"/>
    </row>
    <row r="476" spans="1:10" s="149" customFormat="1" hidden="1">
      <c r="B476" s="61" t="s">
        <v>272</v>
      </c>
      <c r="C476" s="96">
        <v>1.1000000000000001</v>
      </c>
      <c r="D476" s="96" t="s">
        <v>32</v>
      </c>
      <c r="E476" s="96">
        <f>F251</f>
        <v>508.5</v>
      </c>
      <c r="F476" s="16">
        <f>E476*C476</f>
        <v>559.35</v>
      </c>
      <c r="G476" s="121"/>
      <c r="H476" s="121"/>
      <c r="I476" s="121"/>
      <c r="J476" s="121"/>
    </row>
    <row r="477" spans="1:10" s="149" customFormat="1" hidden="1">
      <c r="B477" s="64" t="s">
        <v>117</v>
      </c>
      <c r="C477" s="777"/>
      <c r="D477" s="777"/>
      <c r="E477" s="777"/>
      <c r="F477" s="777">
        <f>SUM(F475:F476)</f>
        <v>941.09500000000003</v>
      </c>
      <c r="G477" s="121"/>
      <c r="H477" s="121"/>
      <c r="I477" s="121"/>
      <c r="J477" s="121"/>
    </row>
    <row r="478" spans="1:10" s="149" customFormat="1" hidden="1">
      <c r="B478" s="45"/>
      <c r="C478" s="777"/>
      <c r="D478" s="777"/>
      <c r="E478" s="16" t="s">
        <v>120</v>
      </c>
      <c r="F478" s="777">
        <f>ROUND(F477,1)</f>
        <v>941.1</v>
      </c>
      <c r="G478" s="121"/>
      <c r="H478" s="121"/>
      <c r="I478" s="121"/>
      <c r="J478" s="121"/>
    </row>
    <row r="479" spans="1:10" s="149" customFormat="1">
      <c r="C479" s="121"/>
      <c r="D479" s="121"/>
      <c r="E479" s="121"/>
      <c r="F479" s="121"/>
      <c r="G479" s="121"/>
      <c r="H479" s="121"/>
      <c r="I479" s="121"/>
      <c r="J479" s="121"/>
    </row>
    <row r="480" spans="1:10" s="149" customFormat="1" ht="51">
      <c r="A480" s="133">
        <v>16</v>
      </c>
      <c r="B480" s="129" t="s">
        <v>556</v>
      </c>
      <c r="C480" s="777"/>
      <c r="D480" s="777"/>
      <c r="E480" s="777"/>
      <c r="F480" s="777"/>
      <c r="G480" s="121"/>
      <c r="H480" s="121"/>
      <c r="I480" s="121"/>
      <c r="J480" s="121"/>
    </row>
    <row r="481" spans="2:10" s="149" customFormat="1">
      <c r="B481" s="3" t="s">
        <v>70</v>
      </c>
      <c r="C481" s="777"/>
      <c r="D481" s="777"/>
      <c r="E481" s="777"/>
      <c r="F481" s="777"/>
      <c r="G481" s="121"/>
      <c r="H481" s="121"/>
      <c r="I481" s="121"/>
      <c r="J481" s="121"/>
    </row>
    <row r="482" spans="2:10" s="149" customFormat="1">
      <c r="B482" s="61" t="s">
        <v>271</v>
      </c>
      <c r="C482" s="96">
        <v>1</v>
      </c>
      <c r="D482" s="16" t="s">
        <v>123</v>
      </c>
      <c r="E482" s="96">
        <f>E463</f>
        <v>5341.0208950000015</v>
      </c>
      <c r="F482" s="16">
        <f>E482*C482</f>
        <v>5341.0208950000015</v>
      </c>
      <c r="G482" s="121"/>
      <c r="H482" s="121"/>
      <c r="I482" s="121"/>
      <c r="J482" s="121"/>
    </row>
    <row r="483" spans="2:10" s="149" customFormat="1">
      <c r="B483" s="61" t="s">
        <v>272</v>
      </c>
      <c r="C483" s="96">
        <v>8</v>
      </c>
      <c r="D483" s="96" t="s">
        <v>32</v>
      </c>
      <c r="E483" s="96">
        <f>'[1]Revised Analysis'!F193</f>
        <v>458.05055592380955</v>
      </c>
      <c r="F483" s="16">
        <f>E483*C483</f>
        <v>3664.4044473904764</v>
      </c>
      <c r="G483" s="121"/>
      <c r="H483" s="121"/>
      <c r="I483" s="121"/>
      <c r="J483" s="121"/>
    </row>
    <row r="484" spans="2:10" s="149" customFormat="1">
      <c r="B484" s="15" t="s">
        <v>117</v>
      </c>
      <c r="C484" s="777"/>
      <c r="D484" s="777"/>
      <c r="E484" s="777"/>
      <c r="F484" s="777">
        <f>SUM(F482:F483)</f>
        <v>9005.4253423904775</v>
      </c>
      <c r="G484" s="121"/>
      <c r="H484" s="121"/>
      <c r="I484" s="121"/>
      <c r="J484" s="121"/>
    </row>
    <row r="485" spans="2:10" s="149" customFormat="1">
      <c r="B485" s="45"/>
      <c r="C485" s="777"/>
      <c r="D485" s="777"/>
      <c r="E485" s="16" t="s">
        <v>120</v>
      </c>
      <c r="F485" s="777">
        <f>ROUND(F484,1)</f>
        <v>9005.4</v>
      </c>
      <c r="G485" s="121"/>
      <c r="H485" s="121"/>
      <c r="I485" s="121"/>
      <c r="J485" s="121"/>
    </row>
    <row r="486" spans="2:10" s="149" customFormat="1">
      <c r="C486" s="121"/>
      <c r="D486" s="121"/>
      <c r="E486" s="121"/>
      <c r="F486" s="121"/>
      <c r="G486" s="121"/>
      <c r="H486" s="121"/>
      <c r="I486" s="121"/>
      <c r="J486" s="121"/>
    </row>
    <row r="487" spans="2:10" s="149" customFormat="1">
      <c r="B487" s="3" t="s">
        <v>71</v>
      </c>
      <c r="C487" s="777"/>
      <c r="D487" s="777"/>
      <c r="E487" s="777"/>
      <c r="F487" s="777"/>
      <c r="G487" s="121"/>
      <c r="H487" s="121"/>
      <c r="I487" s="121"/>
      <c r="J487" s="121"/>
    </row>
    <row r="488" spans="2:10" s="149" customFormat="1">
      <c r="B488" s="61" t="s">
        <v>271</v>
      </c>
      <c r="C488" s="96">
        <v>1</v>
      </c>
      <c r="D488" s="16" t="s">
        <v>123</v>
      </c>
      <c r="E488" s="96">
        <f>E469</f>
        <v>5393.3158000000003</v>
      </c>
      <c r="F488" s="16">
        <f>E488*C488</f>
        <v>5393.3158000000003</v>
      </c>
      <c r="G488" s="121"/>
      <c r="H488" s="121"/>
      <c r="I488" s="121"/>
      <c r="J488" s="121"/>
    </row>
    <row r="489" spans="2:10" s="149" customFormat="1">
      <c r="B489" s="61" t="s">
        <v>272</v>
      </c>
      <c r="C489" s="96">
        <v>8</v>
      </c>
      <c r="D489" s="96" t="s">
        <v>32</v>
      </c>
      <c r="E489" s="96">
        <f>F308</f>
        <v>635</v>
      </c>
      <c r="F489" s="16">
        <f>E489*C489</f>
        <v>5080</v>
      </c>
      <c r="G489" s="121"/>
      <c r="H489" s="121"/>
      <c r="I489" s="121"/>
      <c r="J489" s="121"/>
    </row>
    <row r="490" spans="2:10" s="149" customFormat="1">
      <c r="B490" s="64" t="s">
        <v>117</v>
      </c>
      <c r="C490" s="777"/>
      <c r="D490" s="777"/>
      <c r="E490" s="777"/>
      <c r="F490" s="777">
        <f>SUM(F488:F489)</f>
        <v>10473.3158</v>
      </c>
      <c r="G490" s="121"/>
      <c r="H490" s="121"/>
      <c r="I490" s="121"/>
      <c r="J490" s="121"/>
    </row>
    <row r="491" spans="2:10" s="149" customFormat="1">
      <c r="B491" s="45"/>
      <c r="C491" s="777"/>
      <c r="D491" s="777"/>
      <c r="E491" s="16" t="s">
        <v>120</v>
      </c>
      <c r="F491" s="777">
        <f>ROUND(F490,1)</f>
        <v>10473.299999999999</v>
      </c>
      <c r="G491" s="121"/>
      <c r="H491" s="121"/>
      <c r="I491" s="121"/>
      <c r="J491" s="121"/>
    </row>
    <row r="492" spans="2:10" s="149" customFormat="1">
      <c r="B492" s="45"/>
      <c r="C492" s="777"/>
      <c r="D492" s="777"/>
      <c r="E492" s="16"/>
      <c r="F492" s="777"/>
      <c r="G492" s="121"/>
      <c r="H492" s="121"/>
      <c r="I492" s="121"/>
      <c r="J492" s="121"/>
    </row>
    <row r="493" spans="2:10" s="149" customFormat="1">
      <c r="B493" s="3" t="s">
        <v>1050</v>
      </c>
      <c r="C493" s="777"/>
      <c r="D493" s="777"/>
      <c r="E493" s="777"/>
      <c r="F493" s="777"/>
      <c r="G493" s="121"/>
      <c r="H493" s="121"/>
      <c r="I493" s="121"/>
      <c r="J493" s="121"/>
    </row>
    <row r="494" spans="2:10" s="149" customFormat="1">
      <c r="B494" s="61" t="s">
        <v>271</v>
      </c>
      <c r="C494" s="96">
        <v>1</v>
      </c>
      <c r="D494" s="16" t="s">
        <v>123</v>
      </c>
      <c r="E494" s="96">
        <f>E475</f>
        <v>5453.5</v>
      </c>
      <c r="F494" s="16">
        <f>E494*C494</f>
        <v>5453.5</v>
      </c>
      <c r="G494" s="121"/>
      <c r="H494" s="121"/>
      <c r="I494" s="121"/>
      <c r="J494" s="121"/>
    </row>
    <row r="495" spans="2:10" s="149" customFormat="1">
      <c r="B495" s="61" t="s">
        <v>272</v>
      </c>
      <c r="C495" s="96">
        <v>8</v>
      </c>
      <c r="D495" s="96" t="s">
        <v>32</v>
      </c>
      <c r="E495" s="96">
        <f>F313</f>
        <v>762</v>
      </c>
      <c r="F495" s="16">
        <f>E495*C495</f>
        <v>6096</v>
      </c>
      <c r="G495" s="121"/>
      <c r="H495" s="121"/>
      <c r="I495" s="121"/>
      <c r="J495" s="121"/>
    </row>
    <row r="496" spans="2:10" s="149" customFormat="1">
      <c r="B496" s="64" t="s">
        <v>117</v>
      </c>
      <c r="C496" s="777"/>
      <c r="D496" s="777"/>
      <c r="E496" s="777"/>
      <c r="F496" s="777">
        <f>SUM(F494:F495)</f>
        <v>11549.5</v>
      </c>
      <c r="G496" s="121"/>
      <c r="H496" s="121"/>
      <c r="I496" s="121"/>
      <c r="J496" s="121"/>
    </row>
    <row r="497" spans="1:10" s="149" customFormat="1">
      <c r="B497" s="45"/>
      <c r="C497" s="777"/>
      <c r="D497" s="777"/>
      <c r="E497" s="16" t="s">
        <v>120</v>
      </c>
      <c r="F497" s="777">
        <f>ROUND(F496,1)</f>
        <v>11549.5</v>
      </c>
      <c r="G497" s="121"/>
      <c r="H497" s="121"/>
      <c r="I497" s="121"/>
      <c r="J497" s="121"/>
    </row>
    <row r="498" spans="1:10" s="149" customFormat="1">
      <c r="C498" s="121"/>
      <c r="D498" s="121"/>
      <c r="E498" s="121"/>
      <c r="F498" s="121"/>
      <c r="G498" s="121"/>
      <c r="H498" s="121"/>
      <c r="I498" s="121"/>
      <c r="J498" s="121"/>
    </row>
    <row r="499" spans="1:10" s="149" customFormat="1">
      <c r="C499" s="121"/>
      <c r="D499" s="121"/>
      <c r="E499" s="121"/>
      <c r="F499" s="121"/>
      <c r="G499" s="121"/>
      <c r="H499" s="121"/>
      <c r="I499" s="121"/>
      <c r="J499" s="121"/>
    </row>
    <row r="500" spans="1:10" s="149" customFormat="1" ht="51">
      <c r="A500" s="133">
        <v>17</v>
      </c>
      <c r="B500" s="129" t="s">
        <v>557</v>
      </c>
      <c r="C500" s="777"/>
      <c r="D500" s="777"/>
      <c r="E500" s="16"/>
      <c r="F500" s="777"/>
      <c r="G500" s="121"/>
      <c r="H500" s="121"/>
      <c r="I500" s="121"/>
      <c r="J500" s="121"/>
    </row>
    <row r="501" spans="1:10" s="149" customFormat="1">
      <c r="B501" s="3" t="s">
        <v>70</v>
      </c>
      <c r="C501" s="777"/>
      <c r="D501" s="777"/>
      <c r="E501" s="777"/>
      <c r="F501" s="777"/>
      <c r="G501" s="121"/>
      <c r="H501" s="121"/>
      <c r="I501" s="121"/>
      <c r="J501" s="121"/>
    </row>
    <row r="502" spans="1:10" s="149" customFormat="1">
      <c r="B502" s="61" t="s">
        <v>271</v>
      </c>
      <c r="C502" s="96">
        <v>1</v>
      </c>
      <c r="D502" s="16" t="s">
        <v>123</v>
      </c>
      <c r="E502" s="96">
        <f>F74</f>
        <v>5341.0208950000015</v>
      </c>
      <c r="F502" s="16">
        <f>E502*C502</f>
        <v>5341.0208950000015</v>
      </c>
      <c r="G502" s="121"/>
      <c r="H502" s="121"/>
      <c r="I502" s="121"/>
      <c r="J502" s="121"/>
    </row>
    <row r="503" spans="1:10" s="149" customFormat="1">
      <c r="B503" s="61" t="s">
        <v>272</v>
      </c>
      <c r="C503" s="96">
        <v>7</v>
      </c>
      <c r="D503" s="96" t="s">
        <v>32</v>
      </c>
      <c r="E503" s="96">
        <f>F334</f>
        <v>452</v>
      </c>
      <c r="F503" s="16">
        <f>E503*C503</f>
        <v>3164</v>
      </c>
      <c r="G503" s="121"/>
      <c r="H503" s="121"/>
      <c r="I503" s="121"/>
      <c r="J503" s="121"/>
    </row>
    <row r="504" spans="1:10" s="149" customFormat="1">
      <c r="B504" s="64" t="s">
        <v>117</v>
      </c>
      <c r="C504" s="777"/>
      <c r="D504" s="777"/>
      <c r="E504" s="777"/>
      <c r="F504" s="777">
        <f>SUM(F502:F503)</f>
        <v>8505.0208950000015</v>
      </c>
      <c r="G504" s="121"/>
      <c r="H504" s="121"/>
      <c r="I504" s="121"/>
      <c r="J504" s="121"/>
    </row>
    <row r="505" spans="1:10" s="149" customFormat="1">
      <c r="B505" s="45"/>
      <c r="C505" s="777"/>
      <c r="D505" s="777"/>
      <c r="E505" s="16" t="s">
        <v>120</v>
      </c>
      <c r="F505" s="777">
        <f>ROUND(F504,1)</f>
        <v>8505</v>
      </c>
      <c r="G505" s="121"/>
      <c r="H505" s="121"/>
      <c r="I505" s="121"/>
      <c r="J505" s="121"/>
    </row>
    <row r="506" spans="1:10" s="149" customFormat="1">
      <c r="B506" s="45"/>
      <c r="C506" s="777"/>
      <c r="D506" s="777"/>
      <c r="E506" s="16"/>
      <c r="F506" s="777"/>
      <c r="G506" s="121"/>
      <c r="H506" s="121"/>
      <c r="I506" s="121"/>
      <c r="J506" s="121"/>
    </row>
    <row r="507" spans="1:10" s="149" customFormat="1">
      <c r="B507" s="3" t="s">
        <v>71</v>
      </c>
      <c r="C507" s="777"/>
      <c r="D507" s="777"/>
      <c r="E507" s="777"/>
      <c r="F507" s="777"/>
      <c r="G507" s="121"/>
      <c r="H507" s="121"/>
      <c r="I507" s="121"/>
      <c r="J507" s="121"/>
    </row>
    <row r="508" spans="1:10" s="149" customFormat="1">
      <c r="B508" s="61" t="s">
        <v>271</v>
      </c>
      <c r="C508" s="96">
        <v>1</v>
      </c>
      <c r="D508" s="16" t="s">
        <v>123</v>
      </c>
      <c r="E508" s="96">
        <f>E488</f>
        <v>5393.3158000000003</v>
      </c>
      <c r="F508" s="16">
        <f>E508*C508</f>
        <v>5393.3158000000003</v>
      </c>
      <c r="G508" s="121"/>
      <c r="H508" s="121"/>
      <c r="I508" s="121"/>
      <c r="J508" s="121"/>
    </row>
    <row r="509" spans="1:10" s="149" customFormat="1">
      <c r="B509" s="61" t="s">
        <v>272</v>
      </c>
      <c r="C509" s="96">
        <v>7</v>
      </c>
      <c r="D509" s="96" t="s">
        <v>32</v>
      </c>
      <c r="E509" s="96">
        <f>F339</f>
        <v>542.4</v>
      </c>
      <c r="F509" s="16">
        <f>E509*C509</f>
        <v>3796.7999999999997</v>
      </c>
      <c r="G509" s="121"/>
      <c r="H509" s="121"/>
      <c r="I509" s="121"/>
      <c r="J509" s="121"/>
    </row>
    <row r="510" spans="1:10" s="149" customFormat="1">
      <c r="B510" s="64" t="s">
        <v>117</v>
      </c>
      <c r="C510" s="777"/>
      <c r="D510" s="777"/>
      <c r="E510" s="777"/>
      <c r="F510" s="777">
        <f>SUM(F508:F509)</f>
        <v>9190.1157999999996</v>
      </c>
      <c r="G510" s="121"/>
      <c r="H510" s="121"/>
      <c r="I510" s="121"/>
      <c r="J510" s="121"/>
    </row>
    <row r="511" spans="1:10" s="149" customFormat="1">
      <c r="B511" s="45"/>
      <c r="C511" s="777"/>
      <c r="D511" s="777"/>
      <c r="E511" s="16" t="s">
        <v>120</v>
      </c>
      <c r="F511" s="777">
        <f>ROUND(F510,1)</f>
        <v>9190.1</v>
      </c>
      <c r="G511" s="121"/>
      <c r="H511" s="121"/>
      <c r="I511" s="121"/>
      <c r="J511" s="121"/>
    </row>
    <row r="512" spans="1:10" s="149" customFormat="1">
      <c r="B512" s="45"/>
      <c r="C512" s="777"/>
      <c r="D512" s="777"/>
      <c r="E512" s="16"/>
      <c r="F512" s="777"/>
      <c r="G512" s="121"/>
      <c r="H512" s="121"/>
      <c r="I512" s="121"/>
      <c r="J512" s="121"/>
    </row>
    <row r="513" spans="1:10" s="149" customFormat="1">
      <c r="B513" s="3" t="s">
        <v>1050</v>
      </c>
      <c r="C513" s="777"/>
      <c r="D513" s="777"/>
      <c r="E513" s="777"/>
      <c r="F513" s="777"/>
      <c r="G513" s="121"/>
      <c r="H513" s="121"/>
      <c r="I513" s="121"/>
      <c r="J513" s="121"/>
    </row>
    <row r="514" spans="1:10" s="149" customFormat="1">
      <c r="B514" s="61" t="s">
        <v>271</v>
      </c>
      <c r="C514" s="96">
        <v>1</v>
      </c>
      <c r="D514" s="16" t="s">
        <v>123</v>
      </c>
      <c r="E514" s="96">
        <f>E494</f>
        <v>5453.5</v>
      </c>
      <c r="F514" s="16">
        <f>E514*C514</f>
        <v>5453.5</v>
      </c>
      <c r="G514" s="121"/>
      <c r="H514" s="121"/>
      <c r="I514" s="121"/>
      <c r="J514" s="121"/>
    </row>
    <row r="515" spans="1:10" s="149" customFormat="1">
      <c r="B515" s="61" t="s">
        <v>272</v>
      </c>
      <c r="C515" s="96">
        <v>7</v>
      </c>
      <c r="D515" s="96" t="s">
        <v>32</v>
      </c>
      <c r="E515" s="96">
        <f>F344</f>
        <v>650.9</v>
      </c>
      <c r="F515" s="16">
        <f>E515*C515</f>
        <v>4556.3</v>
      </c>
      <c r="G515" s="121"/>
      <c r="H515" s="121"/>
      <c r="I515" s="121"/>
      <c r="J515" s="121"/>
    </row>
    <row r="516" spans="1:10" s="149" customFormat="1">
      <c r="B516" s="64" t="s">
        <v>117</v>
      </c>
      <c r="C516" s="777"/>
      <c r="D516" s="777"/>
      <c r="E516" s="777"/>
      <c r="F516" s="777">
        <f>SUM(F514:F515)</f>
        <v>10009.799999999999</v>
      </c>
      <c r="G516" s="121"/>
      <c r="H516" s="121"/>
      <c r="I516" s="121"/>
      <c r="J516" s="121"/>
    </row>
    <row r="517" spans="1:10" s="149" customFormat="1">
      <c r="B517" s="45"/>
      <c r="C517" s="777"/>
      <c r="D517" s="777"/>
      <c r="E517" s="16" t="s">
        <v>120</v>
      </c>
      <c r="F517" s="777">
        <f>ROUND(F516,1)</f>
        <v>10009.799999999999</v>
      </c>
      <c r="G517" s="121"/>
      <c r="H517" s="121"/>
      <c r="I517" s="121"/>
      <c r="J517" s="121"/>
    </row>
    <row r="518" spans="1:10" s="149" customFormat="1">
      <c r="B518" s="45"/>
      <c r="C518" s="777"/>
      <c r="D518" s="777"/>
      <c r="E518" s="16"/>
      <c r="F518" s="777"/>
      <c r="G518" s="121"/>
      <c r="H518" s="121"/>
      <c r="I518" s="121"/>
      <c r="J518" s="121"/>
    </row>
    <row r="519" spans="1:10" s="149" customFormat="1" ht="51">
      <c r="A519" s="121">
        <v>18</v>
      </c>
      <c r="B519" s="129" t="s">
        <v>1207</v>
      </c>
      <c r="C519" s="777"/>
      <c r="D519" s="777"/>
      <c r="E519" s="16"/>
      <c r="F519" s="777"/>
      <c r="G519" s="121"/>
      <c r="H519" s="121"/>
      <c r="I519" s="121"/>
      <c r="J519" s="121"/>
    </row>
    <row r="520" spans="1:10" s="149" customFormat="1">
      <c r="B520" s="129" t="s">
        <v>70</v>
      </c>
      <c r="C520" s="777"/>
      <c r="D520" s="777"/>
      <c r="E520" s="777"/>
      <c r="F520" s="777"/>
      <c r="G520" s="121"/>
      <c r="H520" s="121"/>
      <c r="I520" s="121"/>
      <c r="J520" s="121"/>
    </row>
    <row r="521" spans="1:10" s="149" customFormat="1">
      <c r="B521" s="61" t="s">
        <v>271</v>
      </c>
      <c r="C521" s="134">
        <v>6.5000000000000002E-2</v>
      </c>
      <c r="D521" s="16" t="s">
        <v>123</v>
      </c>
      <c r="E521" s="96">
        <f>E482</f>
        <v>5341.0208950000015</v>
      </c>
      <c r="F521" s="16">
        <f>E521*C521</f>
        <v>347.16635817500008</v>
      </c>
      <c r="G521" s="121"/>
      <c r="H521" s="121"/>
      <c r="I521" s="121"/>
      <c r="J521" s="121"/>
    </row>
    <row r="522" spans="1:10" s="149" customFormat="1">
      <c r="B522" s="61" t="s">
        <v>272</v>
      </c>
      <c r="C522" s="96">
        <v>1</v>
      </c>
      <c r="D522" s="96" t="s">
        <v>32</v>
      </c>
      <c r="E522" s="96">
        <f>F241</f>
        <v>353.1</v>
      </c>
      <c r="F522" s="16">
        <f>E522*C522</f>
        <v>353.1</v>
      </c>
      <c r="G522" s="121"/>
      <c r="H522" s="121"/>
      <c r="I522" s="121"/>
      <c r="J522" s="121"/>
    </row>
    <row r="523" spans="1:10" s="149" customFormat="1">
      <c r="B523" s="64" t="s">
        <v>117</v>
      </c>
      <c r="C523" s="777"/>
      <c r="D523" s="777"/>
      <c r="E523" s="777"/>
      <c r="F523" s="788">
        <f>SUM(F521:F522)</f>
        <v>700.26635817500005</v>
      </c>
      <c r="G523" s="121"/>
      <c r="H523" s="121"/>
      <c r="I523" s="121"/>
      <c r="J523" s="121"/>
    </row>
    <row r="524" spans="1:10" s="149" customFormat="1">
      <c r="B524" s="45"/>
      <c r="C524" s="777"/>
      <c r="D524" s="777"/>
      <c r="E524" s="16" t="s">
        <v>120</v>
      </c>
      <c r="F524" s="777">
        <f>ROUND(F523,1)</f>
        <v>700.3</v>
      </c>
      <c r="G524" s="121"/>
      <c r="H524" s="121"/>
      <c r="I524" s="121"/>
      <c r="J524" s="121"/>
    </row>
    <row r="525" spans="1:10" s="149" customFormat="1">
      <c r="B525" s="45"/>
      <c r="C525" s="777"/>
      <c r="D525" s="777"/>
      <c r="E525" s="16"/>
      <c r="F525" s="777"/>
      <c r="G525" s="121"/>
      <c r="H525" s="121"/>
      <c r="I525" s="121"/>
      <c r="J525" s="121"/>
    </row>
    <row r="526" spans="1:10" s="149" customFormat="1">
      <c r="B526" s="3" t="s">
        <v>71</v>
      </c>
      <c r="C526" s="777"/>
      <c r="D526" s="777"/>
      <c r="E526" s="777"/>
      <c r="F526" s="777"/>
      <c r="G526" s="121"/>
      <c r="H526" s="121"/>
      <c r="I526" s="121"/>
      <c r="J526" s="121"/>
    </row>
    <row r="527" spans="1:10" s="149" customFormat="1">
      <c r="B527" s="61" t="s">
        <v>271</v>
      </c>
      <c r="C527" s="134">
        <v>6.5000000000000002E-2</v>
      </c>
      <c r="D527" s="16" t="s">
        <v>123</v>
      </c>
      <c r="E527" s="96">
        <f>E508</f>
        <v>5393.3158000000003</v>
      </c>
      <c r="F527" s="16">
        <f>E527*C527</f>
        <v>350.56552700000003</v>
      </c>
      <c r="G527" s="121"/>
      <c r="H527" s="121"/>
      <c r="I527" s="121"/>
      <c r="J527" s="121"/>
    </row>
    <row r="528" spans="1:10" s="149" customFormat="1">
      <c r="B528" s="61" t="s">
        <v>272</v>
      </c>
      <c r="C528" s="96">
        <v>1</v>
      </c>
      <c r="D528" s="96" t="s">
        <v>32</v>
      </c>
      <c r="E528" s="96">
        <f>F246</f>
        <v>423.7</v>
      </c>
      <c r="F528" s="16">
        <f>E528*C528</f>
        <v>423.7</v>
      </c>
      <c r="G528" s="121"/>
      <c r="H528" s="121"/>
      <c r="I528" s="121"/>
      <c r="J528" s="121"/>
    </row>
    <row r="529" spans="1:10" s="149" customFormat="1">
      <c r="B529" s="64" t="s">
        <v>117</v>
      </c>
      <c r="C529" s="777"/>
      <c r="D529" s="777"/>
      <c r="E529" s="777"/>
      <c r="F529" s="788">
        <f>SUM(F527:F528)</f>
        <v>774.26552700000002</v>
      </c>
      <c r="G529" s="121"/>
      <c r="H529" s="121"/>
      <c r="I529" s="121"/>
      <c r="J529" s="121"/>
    </row>
    <row r="530" spans="1:10" s="149" customFormat="1">
      <c r="B530" s="45"/>
      <c r="C530" s="777"/>
      <c r="D530" s="777"/>
      <c r="E530" s="16"/>
      <c r="F530" s="777"/>
      <c r="G530" s="121"/>
      <c r="H530" s="121"/>
      <c r="I530" s="121"/>
      <c r="J530" s="121"/>
    </row>
    <row r="531" spans="1:10" s="149" customFormat="1">
      <c r="B531" s="3" t="s">
        <v>267</v>
      </c>
      <c r="C531" s="777"/>
      <c r="D531" s="777"/>
      <c r="E531" s="777"/>
      <c r="F531" s="777"/>
      <c r="G531" s="121"/>
      <c r="H531" s="121"/>
      <c r="I531" s="121"/>
      <c r="J531" s="121"/>
    </row>
    <row r="532" spans="1:10" s="149" customFormat="1">
      <c r="B532" s="61" t="s">
        <v>271</v>
      </c>
      <c r="C532" s="134">
        <v>6.5000000000000002E-2</v>
      </c>
      <c r="D532" s="16" t="s">
        <v>123</v>
      </c>
      <c r="E532" s="96">
        <f>E514</f>
        <v>5453.5</v>
      </c>
      <c r="F532" s="16">
        <f>E532*C532</f>
        <v>354.47750000000002</v>
      </c>
      <c r="G532" s="121"/>
      <c r="H532" s="121"/>
      <c r="I532" s="121"/>
      <c r="J532" s="121"/>
    </row>
    <row r="533" spans="1:10" s="149" customFormat="1">
      <c r="B533" s="61" t="s">
        <v>272</v>
      </c>
      <c r="C533" s="96">
        <v>1</v>
      </c>
      <c r="D533" s="96" t="s">
        <v>32</v>
      </c>
      <c r="E533" s="96">
        <f>F251</f>
        <v>508.5</v>
      </c>
      <c r="F533" s="16">
        <f>E533*C533</f>
        <v>508.5</v>
      </c>
      <c r="G533" s="121"/>
      <c r="H533" s="121"/>
      <c r="I533" s="121"/>
      <c r="J533" s="121"/>
    </row>
    <row r="534" spans="1:10" s="149" customFormat="1">
      <c r="B534" s="64" t="s">
        <v>117</v>
      </c>
      <c r="C534" s="777"/>
      <c r="D534" s="777"/>
      <c r="E534" s="777"/>
      <c r="F534" s="788">
        <f>SUM(F532:F533)</f>
        <v>862.97749999999996</v>
      </c>
      <c r="G534" s="121"/>
      <c r="H534" s="121"/>
      <c r="I534" s="121"/>
      <c r="J534" s="121"/>
    </row>
    <row r="535" spans="1:10" s="149" customFormat="1">
      <c r="B535" s="45"/>
      <c r="C535" s="777"/>
      <c r="D535" s="777"/>
      <c r="E535" s="16"/>
      <c r="F535" s="777"/>
      <c r="G535" s="121"/>
      <c r="H535" s="121"/>
      <c r="I535" s="121"/>
      <c r="J535" s="121"/>
    </row>
    <row r="536" spans="1:10" s="149" customFormat="1">
      <c r="B536" s="45"/>
      <c r="C536" s="777"/>
      <c r="D536" s="777"/>
      <c r="E536" s="16"/>
      <c r="F536" s="777"/>
      <c r="G536" s="121"/>
      <c r="H536" s="121"/>
      <c r="I536" s="121"/>
      <c r="J536" s="121"/>
    </row>
    <row r="537" spans="1:10" s="20" customFormat="1" ht="63.75" hidden="1">
      <c r="A537" s="5">
        <v>15</v>
      </c>
      <c r="B537" s="99" t="s">
        <v>289</v>
      </c>
      <c r="C537" s="96" t="s">
        <v>161</v>
      </c>
      <c r="D537" s="96"/>
      <c r="E537" s="96"/>
      <c r="F537" s="16"/>
      <c r="G537" s="4"/>
      <c r="H537" s="4"/>
    </row>
    <row r="538" spans="1:10" s="20" customFormat="1" hidden="1">
      <c r="A538" s="5"/>
      <c r="B538" s="15" t="s">
        <v>290</v>
      </c>
      <c r="C538" s="777"/>
      <c r="D538" s="777"/>
      <c r="E538" s="777"/>
      <c r="F538" s="777"/>
      <c r="G538" s="4"/>
      <c r="H538" s="4"/>
    </row>
    <row r="539" spans="1:10" s="20" customFormat="1" hidden="1">
      <c r="A539" s="5" t="s">
        <v>37</v>
      </c>
      <c r="B539" s="15" t="s">
        <v>70</v>
      </c>
      <c r="C539" s="777"/>
      <c r="D539" s="777"/>
      <c r="E539" s="777"/>
      <c r="F539" s="777"/>
      <c r="G539" s="4"/>
      <c r="H539" s="4"/>
    </row>
    <row r="540" spans="1:10" s="20" customFormat="1" hidden="1">
      <c r="A540" s="5"/>
      <c r="B540" s="99" t="s">
        <v>131</v>
      </c>
      <c r="C540" s="777"/>
      <c r="D540" s="777"/>
      <c r="E540" s="777"/>
      <c r="F540" s="777"/>
      <c r="G540" s="4"/>
      <c r="H540" s="4"/>
    </row>
    <row r="541" spans="1:10" s="20" customFormat="1" hidden="1">
      <c r="A541" s="5"/>
      <c r="B541" s="15" t="s">
        <v>84</v>
      </c>
      <c r="C541" s="96">
        <v>0.22800000000000001</v>
      </c>
      <c r="D541" s="96" t="s">
        <v>123</v>
      </c>
      <c r="E541" s="96">
        <v>18823</v>
      </c>
      <c r="F541" s="96">
        <f>E541*C541</f>
        <v>4291.6440000000002</v>
      </c>
      <c r="G541" s="4"/>
      <c r="H541" s="4"/>
    </row>
    <row r="542" spans="1:10" s="20" customFormat="1" hidden="1">
      <c r="A542" s="5"/>
      <c r="B542" s="15" t="s">
        <v>40</v>
      </c>
      <c r="C542" s="96">
        <v>3.9E-2</v>
      </c>
      <c r="D542" s="96" t="s">
        <v>130</v>
      </c>
      <c r="E542" s="96">
        <f>E541</f>
        <v>18823</v>
      </c>
      <c r="F542" s="96">
        <f>E542*C542</f>
        <v>734.09699999999998</v>
      </c>
      <c r="G542" s="4"/>
      <c r="H542" s="4"/>
    </row>
    <row r="543" spans="1:10" s="20" customFormat="1" hidden="1">
      <c r="A543" s="5"/>
      <c r="B543" s="15" t="s">
        <v>85</v>
      </c>
      <c r="C543" s="96">
        <v>6.5</v>
      </c>
      <c r="D543" s="96" t="s">
        <v>86</v>
      </c>
      <c r="E543" s="96">
        <v>75</v>
      </c>
      <c r="F543" s="96">
        <f>E543*C543</f>
        <v>487.5</v>
      </c>
      <c r="G543" s="4"/>
      <c r="H543" s="4"/>
    </row>
    <row r="544" spans="1:10" s="20" customFormat="1" hidden="1">
      <c r="A544" s="5"/>
      <c r="B544" s="15" t="s">
        <v>42</v>
      </c>
      <c r="C544" s="96">
        <v>0.35</v>
      </c>
      <c r="D544" s="96" t="s">
        <v>43</v>
      </c>
      <c r="E544" s="96">
        <f>E322</f>
        <v>169</v>
      </c>
      <c r="F544" s="96">
        <f>E544*C544</f>
        <v>59.15</v>
      </c>
      <c r="G544" s="4"/>
      <c r="H544" s="4"/>
    </row>
    <row r="545" spans="1:8" s="20" customFormat="1" hidden="1">
      <c r="A545" s="5"/>
      <c r="B545" s="15" t="s">
        <v>117</v>
      </c>
      <c r="C545" s="16"/>
      <c r="D545" s="16"/>
      <c r="E545" s="16"/>
      <c r="F545" s="96">
        <f>SUM(F541:F544)</f>
        <v>5572.3909999999996</v>
      </c>
      <c r="G545" s="4"/>
      <c r="H545" s="4"/>
    </row>
    <row r="546" spans="1:8" s="20" customFormat="1" hidden="1">
      <c r="A546" s="5"/>
      <c r="B546" s="15" t="s">
        <v>175</v>
      </c>
      <c r="C546" s="16"/>
      <c r="D546" s="16"/>
      <c r="E546" s="16"/>
      <c r="F546" s="96">
        <f>F545/10</f>
        <v>557.23910000000001</v>
      </c>
      <c r="G546" s="4"/>
      <c r="H546" s="4"/>
    </row>
    <row r="547" spans="1:8" s="20" customFormat="1" hidden="1">
      <c r="A547" s="5"/>
      <c r="B547" s="61" t="s">
        <v>137</v>
      </c>
      <c r="C547" s="777"/>
      <c r="D547" s="777"/>
      <c r="E547" s="777"/>
      <c r="F547" s="777"/>
      <c r="G547" s="4"/>
      <c r="H547" s="4"/>
    </row>
    <row r="548" spans="1:8" s="20" customFormat="1" hidden="1">
      <c r="A548" s="5"/>
      <c r="B548" s="61" t="s">
        <v>44</v>
      </c>
      <c r="C548" s="96">
        <v>2.75</v>
      </c>
      <c r="D548" s="96" t="s">
        <v>114</v>
      </c>
      <c r="E548" s="96">
        <v>190</v>
      </c>
      <c r="F548" s="96">
        <f>E548*C548</f>
        <v>522.5</v>
      </c>
      <c r="G548" s="4"/>
      <c r="H548" s="4"/>
    </row>
    <row r="549" spans="1:8" s="20" customFormat="1" hidden="1">
      <c r="A549" s="5"/>
      <c r="B549" s="61" t="s">
        <v>154</v>
      </c>
      <c r="C549" s="96">
        <v>2.75</v>
      </c>
      <c r="D549" s="96" t="s">
        <v>114</v>
      </c>
      <c r="E549" s="96">
        <v>170</v>
      </c>
      <c r="F549" s="96">
        <f>E549*C549</f>
        <v>467.5</v>
      </c>
      <c r="G549" s="4"/>
      <c r="H549" s="4"/>
    </row>
    <row r="550" spans="1:8" s="20" customFormat="1" hidden="1">
      <c r="A550" s="5"/>
      <c r="B550" s="3" t="s">
        <v>322</v>
      </c>
      <c r="C550" s="16"/>
      <c r="D550" s="96" t="s">
        <v>116</v>
      </c>
      <c r="E550" s="96">
        <f>SUM(F546:F549)</f>
        <v>1547.2391</v>
      </c>
      <c r="F550" s="96">
        <f>E550*0.075</f>
        <v>116.04293249999999</v>
      </c>
      <c r="G550" s="4"/>
      <c r="H550" s="4"/>
    </row>
    <row r="551" spans="1:8" s="20" customFormat="1" hidden="1">
      <c r="A551" s="5"/>
      <c r="B551" s="63" t="s">
        <v>323</v>
      </c>
      <c r="C551" s="16"/>
      <c r="D551" s="96" t="s">
        <v>116</v>
      </c>
      <c r="E551" s="96">
        <f>SUM(F546:F549)</f>
        <v>1547.2391</v>
      </c>
      <c r="F551" s="96">
        <f>E551*0.075</f>
        <v>116.04293249999999</v>
      </c>
      <c r="G551" s="4"/>
      <c r="H551" s="4"/>
    </row>
    <row r="552" spans="1:8" s="20" customFormat="1" hidden="1">
      <c r="A552" s="5"/>
      <c r="B552" s="15" t="s">
        <v>117</v>
      </c>
      <c r="C552" s="16"/>
      <c r="D552" s="16"/>
      <c r="E552" s="16"/>
      <c r="F552" s="96">
        <f>SUM(F546:F551)</f>
        <v>1779.324965</v>
      </c>
      <c r="G552" s="4"/>
      <c r="H552" s="4"/>
    </row>
    <row r="553" spans="1:8" s="20" customFormat="1" hidden="1">
      <c r="A553" s="5"/>
      <c r="B553" s="15" t="s">
        <v>60</v>
      </c>
      <c r="C553" s="16"/>
      <c r="D553" s="16"/>
      <c r="E553" s="16"/>
      <c r="F553" s="96">
        <f>F552/5</f>
        <v>355.86499300000003</v>
      </c>
      <c r="G553" s="4"/>
      <c r="H553" s="4"/>
    </row>
    <row r="554" spans="1:8" s="20" customFormat="1" hidden="1">
      <c r="A554" s="5"/>
      <c r="B554" s="45"/>
      <c r="C554" s="777"/>
      <c r="D554" s="777"/>
      <c r="E554" s="777" t="s">
        <v>120</v>
      </c>
      <c r="F554" s="777">
        <f>ROUND(F553,1)</f>
        <v>355.9</v>
      </c>
      <c r="G554" s="4"/>
      <c r="H554" s="4"/>
    </row>
    <row r="555" spans="1:8" s="20" customFormat="1" hidden="1">
      <c r="A555" s="5" t="s">
        <v>38</v>
      </c>
      <c r="B555" s="15" t="s">
        <v>71</v>
      </c>
      <c r="C555" s="777"/>
      <c r="D555" s="96" t="s">
        <v>161</v>
      </c>
      <c r="E555" s="777"/>
      <c r="F555" s="777"/>
      <c r="G555" s="4"/>
      <c r="H555" s="4"/>
    </row>
    <row r="556" spans="1:8" s="20" customFormat="1" hidden="1">
      <c r="A556" s="5"/>
      <c r="B556" s="15" t="s">
        <v>157</v>
      </c>
      <c r="C556" s="16"/>
      <c r="D556" s="16"/>
      <c r="E556" s="16"/>
      <c r="F556" s="16">
        <f>F553</f>
        <v>355.86499300000003</v>
      </c>
      <c r="G556" s="4"/>
      <c r="H556" s="4"/>
    </row>
    <row r="557" spans="1:8" s="20" customFormat="1" hidden="1">
      <c r="A557" s="5"/>
      <c r="B557" s="15" t="s">
        <v>277</v>
      </c>
      <c r="C557" s="96"/>
      <c r="D557" s="96" t="s">
        <v>116</v>
      </c>
      <c r="E557" s="96">
        <f>F553</f>
        <v>355.86499300000003</v>
      </c>
      <c r="F557" s="96">
        <f>E557*0.2</f>
        <v>71.172998600000014</v>
      </c>
      <c r="G557" s="4"/>
      <c r="H557" s="4"/>
    </row>
    <row r="558" spans="1:8" s="20" customFormat="1" hidden="1">
      <c r="A558" s="5"/>
      <c r="B558" s="15" t="s">
        <v>117</v>
      </c>
      <c r="C558" s="96"/>
      <c r="D558" s="96"/>
      <c r="E558" s="96"/>
      <c r="F558" s="96">
        <f>SUM(F556:F557)</f>
        <v>427.03799160000005</v>
      </c>
      <c r="G558" s="4"/>
      <c r="H558" s="4"/>
    </row>
    <row r="559" spans="1:8" s="20" customFormat="1" hidden="1">
      <c r="A559" s="5"/>
      <c r="B559" s="45"/>
      <c r="C559" s="777"/>
      <c r="D559" s="777"/>
      <c r="E559" s="777" t="s">
        <v>120</v>
      </c>
      <c r="F559" s="777">
        <f>ROUND(F558,1)</f>
        <v>427</v>
      </c>
      <c r="G559" s="4"/>
      <c r="H559" s="4"/>
    </row>
    <row r="560" spans="1:8" s="20" customFormat="1" hidden="1">
      <c r="A560" s="5" t="s">
        <v>39</v>
      </c>
      <c r="B560" s="64" t="s">
        <v>267</v>
      </c>
      <c r="C560" s="777"/>
      <c r="D560" s="96" t="s">
        <v>161</v>
      </c>
      <c r="E560" s="777"/>
      <c r="F560" s="777"/>
      <c r="G560" s="4"/>
      <c r="H560" s="4"/>
    </row>
    <row r="561" spans="1:11" s="20" customFormat="1" hidden="1">
      <c r="A561" s="5"/>
      <c r="B561" s="15" t="s">
        <v>278</v>
      </c>
      <c r="C561" s="16"/>
      <c r="D561" s="16"/>
      <c r="E561" s="16"/>
      <c r="F561" s="16">
        <f>F558</f>
        <v>427.03799160000005</v>
      </c>
      <c r="G561" s="4"/>
      <c r="H561" s="4"/>
    </row>
    <row r="562" spans="1:11" s="20" customFormat="1" hidden="1">
      <c r="A562" s="5"/>
      <c r="B562" s="15" t="s">
        <v>279</v>
      </c>
      <c r="C562" s="96"/>
      <c r="D562" s="96" t="s">
        <v>116</v>
      </c>
      <c r="E562" s="96">
        <f>F558</f>
        <v>427.03799160000005</v>
      </c>
      <c r="F562" s="96">
        <f>E562*0.2</f>
        <v>85.407598320000019</v>
      </c>
      <c r="G562" s="4"/>
      <c r="H562" s="4"/>
    </row>
    <row r="563" spans="1:11" s="20" customFormat="1" hidden="1">
      <c r="A563" s="5"/>
      <c r="B563" s="15" t="s">
        <v>117</v>
      </c>
      <c r="C563" s="96"/>
      <c r="D563" s="96"/>
      <c r="E563" s="96"/>
      <c r="F563" s="96">
        <f>SUM(F561:F562)</f>
        <v>512.44558992000009</v>
      </c>
      <c r="G563" s="4"/>
      <c r="H563" s="4"/>
    </row>
    <row r="564" spans="1:11" s="20" customFormat="1" hidden="1">
      <c r="A564" s="5"/>
      <c r="B564" s="45"/>
      <c r="C564" s="777"/>
      <c r="D564" s="777"/>
      <c r="E564" s="777" t="s">
        <v>120</v>
      </c>
      <c r="F564" s="777">
        <f>ROUND(F563,1)</f>
        <v>512.4</v>
      </c>
      <c r="G564" s="4"/>
      <c r="H564" s="4"/>
    </row>
    <row r="565" spans="1:11" s="149" customFormat="1" hidden="1">
      <c r="B565" s="45"/>
      <c r="C565" s="777"/>
      <c r="D565" s="777"/>
      <c r="E565" s="16"/>
      <c r="F565" s="777"/>
      <c r="G565" s="121"/>
      <c r="H565" s="121"/>
      <c r="I565" s="121"/>
      <c r="J565" s="121"/>
    </row>
    <row r="566" spans="1:11" s="149" customFormat="1">
      <c r="B566" s="45"/>
      <c r="C566" s="777"/>
      <c r="D566" s="777"/>
      <c r="E566" s="16"/>
      <c r="F566" s="777"/>
      <c r="G566" s="121"/>
      <c r="H566" s="121"/>
      <c r="I566" s="121"/>
      <c r="J566" s="121"/>
    </row>
    <row r="567" spans="1:11" s="149" customFormat="1" ht="63.75">
      <c r="A567" s="133">
        <v>19</v>
      </c>
      <c r="B567" s="99" t="s">
        <v>176</v>
      </c>
      <c r="C567" s="789"/>
      <c r="D567" s="789"/>
      <c r="E567" s="790"/>
      <c r="F567" s="791"/>
      <c r="G567" s="791"/>
      <c r="H567" s="792"/>
      <c r="I567" s="383"/>
      <c r="J567" s="383"/>
      <c r="K567" s="384"/>
    </row>
    <row r="568" spans="1:11" s="149" customFormat="1" ht="15">
      <c r="B568" s="385" t="s">
        <v>519</v>
      </c>
      <c r="C568" s="791"/>
      <c r="D568" s="791"/>
      <c r="E568" s="793"/>
      <c r="F568" s="791"/>
      <c r="G568" s="791"/>
      <c r="H568" s="791"/>
      <c r="I568" s="382"/>
      <c r="J568" s="382"/>
      <c r="K568" s="384"/>
    </row>
    <row r="569" spans="1:11" s="149" customFormat="1" ht="15">
      <c r="B569" s="365" t="s">
        <v>502</v>
      </c>
      <c r="C569" s="138"/>
      <c r="D569" s="138"/>
      <c r="E569" s="138"/>
      <c r="F569" s="138"/>
      <c r="G569" s="138"/>
      <c r="H569" s="791"/>
      <c r="I569" s="382"/>
      <c r="J569" s="382"/>
      <c r="K569" s="384"/>
    </row>
    <row r="570" spans="1:11" s="149" customFormat="1" ht="29.25" customHeight="1">
      <c r="B570" s="60" t="s">
        <v>520</v>
      </c>
      <c r="C570" s="138">
        <v>1.05</v>
      </c>
      <c r="D570" s="794" t="s">
        <v>521</v>
      </c>
      <c r="E570" s="96">
        <f>Lead!E31*10</f>
        <v>42000</v>
      </c>
      <c r="F570" s="138">
        <f>C570*E570</f>
        <v>44100</v>
      </c>
      <c r="G570" s="138"/>
      <c r="H570" s="795"/>
      <c r="I570" s="121"/>
      <c r="J570" s="121"/>
    </row>
    <row r="571" spans="1:11" s="149" customFormat="1" ht="14.25">
      <c r="B571" s="61" t="s">
        <v>0</v>
      </c>
      <c r="C571" s="138">
        <v>8</v>
      </c>
      <c r="D571" s="138" t="s">
        <v>18</v>
      </c>
      <c r="E571" s="138">
        <v>78</v>
      </c>
      <c r="F571" s="138">
        <f>C571*E571</f>
        <v>624</v>
      </c>
      <c r="G571" s="138"/>
      <c r="H571" s="795"/>
      <c r="I571" s="121"/>
      <c r="J571" s="121"/>
    </row>
    <row r="572" spans="1:11" s="149" customFormat="1" ht="15">
      <c r="B572" s="365" t="s">
        <v>505</v>
      </c>
      <c r="C572" s="138"/>
      <c r="D572" s="138"/>
      <c r="E572" s="138"/>
      <c r="F572" s="138"/>
      <c r="G572" s="138"/>
      <c r="H572" s="791"/>
      <c r="I572" s="121"/>
      <c r="J572" s="121"/>
    </row>
    <row r="573" spans="1:11" s="149" customFormat="1" ht="14.25">
      <c r="B573" s="61" t="s">
        <v>26</v>
      </c>
      <c r="C573" s="138">
        <v>0.44</v>
      </c>
      <c r="D573" s="138" t="s">
        <v>506</v>
      </c>
      <c r="E573" s="96">
        <f>Lead!E54</f>
        <v>220</v>
      </c>
      <c r="F573" s="138">
        <f>C573*E573</f>
        <v>96.8</v>
      </c>
      <c r="G573" s="138"/>
      <c r="H573" s="795"/>
      <c r="I573" s="121"/>
      <c r="J573" s="121"/>
    </row>
    <row r="574" spans="1:11" s="149" customFormat="1" ht="14.25">
      <c r="B574" s="61" t="s">
        <v>522</v>
      </c>
      <c r="C574" s="138">
        <v>3</v>
      </c>
      <c r="D574" s="138" t="s">
        <v>506</v>
      </c>
      <c r="E574" s="96">
        <f>Lead!E67</f>
        <v>260</v>
      </c>
      <c r="F574" s="138">
        <f>C574*E574</f>
        <v>780</v>
      </c>
      <c r="G574" s="138"/>
      <c r="H574" s="795"/>
      <c r="I574" s="121"/>
      <c r="J574" s="121"/>
    </row>
    <row r="575" spans="1:11" s="149" customFormat="1" ht="14.25">
      <c r="B575" s="61" t="s">
        <v>507</v>
      </c>
      <c r="C575" s="138">
        <v>8</v>
      </c>
      <c r="D575" s="138" t="s">
        <v>506</v>
      </c>
      <c r="E575" s="96">
        <f>Lead!E47</f>
        <v>200</v>
      </c>
      <c r="F575" s="138">
        <f>C575*E575</f>
        <v>1600</v>
      </c>
      <c r="G575" s="138"/>
      <c r="H575" s="795"/>
      <c r="I575" s="121"/>
      <c r="J575" s="121"/>
    </row>
    <row r="576" spans="1:11" s="149" customFormat="1" ht="14.25">
      <c r="B576" s="61"/>
      <c r="C576" s="138"/>
      <c r="D576" s="138"/>
      <c r="E576" s="138"/>
      <c r="F576" s="796">
        <f>SUM(F570:F575)</f>
        <v>47200.800000000003</v>
      </c>
      <c r="G576" s="138"/>
      <c r="H576" s="795"/>
      <c r="I576" s="121"/>
      <c r="J576" s="121"/>
    </row>
    <row r="577" spans="1:10" s="149" customFormat="1" ht="14.25">
      <c r="B577" s="61" t="s">
        <v>512</v>
      </c>
      <c r="C577" s="138"/>
      <c r="D577" s="138"/>
      <c r="E577" s="138"/>
      <c r="F577" s="96">
        <f>F576*7.5%</f>
        <v>3540.06</v>
      </c>
      <c r="G577" s="138"/>
      <c r="H577" s="792"/>
      <c r="I577" s="121"/>
      <c r="J577" s="121"/>
    </row>
    <row r="578" spans="1:10" s="149" customFormat="1" ht="14.25">
      <c r="B578" s="61" t="s">
        <v>498</v>
      </c>
      <c r="C578" s="138"/>
      <c r="D578" s="138"/>
      <c r="E578" s="138"/>
      <c r="F578" s="96">
        <f>F576*7.5%</f>
        <v>3540.06</v>
      </c>
      <c r="G578" s="138"/>
      <c r="H578" s="792"/>
      <c r="I578" s="121"/>
      <c r="J578" s="121"/>
    </row>
    <row r="579" spans="1:10" s="149" customFormat="1" ht="14.25">
      <c r="B579" s="61"/>
      <c r="C579" s="138"/>
      <c r="D579" s="138"/>
      <c r="E579" s="138"/>
      <c r="F579" s="96">
        <f>SUM(F576:F578)</f>
        <v>54280.92</v>
      </c>
      <c r="G579" s="138" t="s">
        <v>523</v>
      </c>
      <c r="H579" s="792"/>
      <c r="I579" s="121"/>
      <c r="J579" s="121"/>
    </row>
    <row r="580" spans="1:10" s="149" customFormat="1" ht="15">
      <c r="B580" s="61" t="s">
        <v>524</v>
      </c>
      <c r="C580" s="138"/>
      <c r="D580" s="138"/>
      <c r="E580" s="138"/>
      <c r="F580" s="96">
        <f>F579/10</f>
        <v>5428.0919999999996</v>
      </c>
      <c r="G580" s="138" t="s">
        <v>525</v>
      </c>
      <c r="H580" s="791"/>
      <c r="I580" s="121"/>
      <c r="J580" s="121"/>
    </row>
    <row r="581" spans="1:10" s="149" customFormat="1" ht="14.25">
      <c r="B581" s="61" t="s">
        <v>526</v>
      </c>
      <c r="C581" s="138">
        <v>1.05</v>
      </c>
      <c r="D581" s="138" t="s">
        <v>127</v>
      </c>
      <c r="E581" s="138">
        <f>Lead!J31/10</f>
        <v>1.69</v>
      </c>
      <c r="F581" s="138">
        <f>C581*E581</f>
        <v>1.7745</v>
      </c>
      <c r="G581" s="138"/>
      <c r="H581" s="795"/>
      <c r="I581" s="121"/>
      <c r="J581" s="121"/>
    </row>
    <row r="582" spans="1:10" s="149" customFormat="1" ht="14.25">
      <c r="B582" s="384"/>
      <c r="C582" s="792"/>
      <c r="D582" s="792"/>
      <c r="E582" s="792"/>
      <c r="F582" s="96">
        <f>SUM(F580:F581)</f>
        <v>5429.8665000000001</v>
      </c>
      <c r="G582" s="138" t="s">
        <v>527</v>
      </c>
      <c r="H582" s="795"/>
      <c r="I582" s="121"/>
      <c r="J582" s="121"/>
    </row>
    <row r="583" spans="1:10" s="149" customFormat="1" ht="15">
      <c r="B583" s="386" t="s">
        <v>515</v>
      </c>
      <c r="C583" s="792"/>
      <c r="D583" s="792"/>
      <c r="E583" s="792"/>
      <c r="F583" s="96">
        <f>F582*1%</f>
        <v>54.298665</v>
      </c>
      <c r="G583" s="138"/>
      <c r="H583" s="792"/>
      <c r="I583" s="121"/>
      <c r="J583" s="121"/>
    </row>
    <row r="584" spans="1:10" s="149" customFormat="1" ht="14.25">
      <c r="B584" s="384"/>
      <c r="C584" s="792"/>
      <c r="D584" s="792"/>
      <c r="E584" s="792"/>
      <c r="F584" s="96">
        <f>F582+F583</f>
        <v>5484.1651650000003</v>
      </c>
      <c r="G584" s="138" t="s">
        <v>527</v>
      </c>
      <c r="H584" s="795"/>
      <c r="I584" s="121"/>
      <c r="J584" s="121"/>
    </row>
    <row r="585" spans="1:10" s="149" customFormat="1" ht="15">
      <c r="B585" s="384"/>
      <c r="C585" s="792"/>
      <c r="D585" s="792"/>
      <c r="E585" s="792"/>
      <c r="F585" s="777">
        <f>ROUND(F584,1)</f>
        <v>5484.2</v>
      </c>
      <c r="G585" s="138" t="s">
        <v>527</v>
      </c>
      <c r="H585" s="797"/>
      <c r="I585" s="121"/>
      <c r="J585" s="121"/>
    </row>
    <row r="586" spans="1:10" s="20" customFormat="1">
      <c r="A586" s="5" t="s">
        <v>38</v>
      </c>
      <c r="B586" s="64" t="s">
        <v>71</v>
      </c>
      <c r="C586" s="798"/>
      <c r="D586" s="798"/>
      <c r="E586" s="798"/>
      <c r="F586" s="798"/>
      <c r="G586" s="4"/>
      <c r="H586" s="4"/>
    </row>
    <row r="587" spans="1:10" s="20" customFormat="1">
      <c r="A587" s="5"/>
      <c r="B587" s="19" t="s">
        <v>333</v>
      </c>
      <c r="C587" s="57"/>
      <c r="D587" s="57"/>
      <c r="E587" s="57"/>
      <c r="F587" s="57">
        <f>F584</f>
        <v>5484.1651650000003</v>
      </c>
      <c r="G587" s="4"/>
      <c r="H587" s="4"/>
    </row>
    <row r="588" spans="1:10" s="20" customFormat="1">
      <c r="A588" s="5"/>
      <c r="B588" s="62" t="s">
        <v>280</v>
      </c>
      <c r="C588" s="57"/>
      <c r="D588" s="4"/>
      <c r="E588" s="57">
        <f>((F573+F574+F575)+(F573+F574+F575)*0.15)/10</f>
        <v>284.83199999999999</v>
      </c>
      <c r="F588" s="57">
        <f>E588*0.05</f>
        <v>14.2416</v>
      </c>
      <c r="G588" s="4"/>
      <c r="H588" s="4"/>
    </row>
    <row r="589" spans="1:10" s="20" customFormat="1">
      <c r="A589" s="5"/>
      <c r="B589" s="19" t="s">
        <v>117</v>
      </c>
      <c r="C589" s="57"/>
      <c r="D589" s="57"/>
      <c r="E589" s="57"/>
      <c r="F589" s="57">
        <f>SUM(F587:F588)</f>
        <v>5498.4067650000006</v>
      </c>
      <c r="G589" s="4"/>
      <c r="H589" s="4"/>
    </row>
    <row r="590" spans="1:10" s="20" customFormat="1">
      <c r="A590" s="5"/>
      <c r="B590" s="45"/>
      <c r="C590" s="798"/>
      <c r="D590" s="798"/>
      <c r="E590" s="798" t="s">
        <v>120</v>
      </c>
      <c r="F590" s="798">
        <f>ROUND(F589,1)</f>
        <v>5498.4</v>
      </c>
      <c r="G590" s="4"/>
      <c r="H590" s="4"/>
    </row>
    <row r="591" spans="1:10" s="20" customFormat="1">
      <c r="A591" s="4" t="s">
        <v>39</v>
      </c>
      <c r="B591" s="19" t="s">
        <v>267</v>
      </c>
      <c r="C591" s="16"/>
      <c r="D591" s="16"/>
      <c r="E591" s="16"/>
      <c r="F591" s="16"/>
      <c r="G591" s="4"/>
      <c r="H591" s="4"/>
    </row>
    <row r="592" spans="1:10" s="20" customFormat="1">
      <c r="A592" s="4"/>
      <c r="B592" s="19" t="s">
        <v>278</v>
      </c>
      <c r="C592" s="16"/>
      <c r="D592" s="16"/>
      <c r="E592" s="16"/>
      <c r="F592" s="16">
        <f>F589</f>
        <v>5498.4067650000006</v>
      </c>
      <c r="G592" s="4"/>
      <c r="H592" s="4"/>
    </row>
    <row r="593" spans="1:10" s="20" customFormat="1">
      <c r="A593" s="4"/>
      <c r="B593" s="62" t="s">
        <v>282</v>
      </c>
      <c r="C593" s="16"/>
      <c r="D593" s="16"/>
      <c r="E593" s="16">
        <f>E588+F588</f>
        <v>299.0736</v>
      </c>
      <c r="F593" s="16">
        <f>E593*0.03</f>
        <v>8.9722080000000002</v>
      </c>
      <c r="G593" s="4"/>
      <c r="H593" s="4"/>
    </row>
    <row r="594" spans="1:10" s="20" customFormat="1">
      <c r="A594" s="4"/>
      <c r="B594" s="63" t="s">
        <v>117</v>
      </c>
      <c r="C594" s="16"/>
      <c r="D594" s="16"/>
      <c r="E594" s="16"/>
      <c r="F594" s="16">
        <f>SUM(F592:F593)</f>
        <v>5507.3789730000008</v>
      </c>
      <c r="G594" s="4"/>
      <c r="H594" s="4"/>
    </row>
    <row r="595" spans="1:10" s="20" customFormat="1">
      <c r="A595" s="4"/>
      <c r="B595" s="45"/>
      <c r="C595" s="777"/>
      <c r="D595" s="777"/>
      <c r="E595" s="777" t="s">
        <v>120</v>
      </c>
      <c r="F595" s="777">
        <f>ROUND(F594,1)</f>
        <v>5507.4</v>
      </c>
      <c r="G595" s="16"/>
      <c r="H595" s="4"/>
    </row>
    <row r="596" spans="1:10" s="149" customFormat="1" ht="15">
      <c r="B596" s="384"/>
      <c r="C596" s="792"/>
      <c r="D596" s="792"/>
      <c r="E596" s="792"/>
      <c r="F596" s="787"/>
      <c r="G596" s="138"/>
      <c r="H596" s="797"/>
      <c r="I596" s="121"/>
      <c r="J596" s="121"/>
    </row>
    <row r="597" spans="1:10" s="149" customFormat="1">
      <c r="C597" s="121"/>
      <c r="D597" s="121"/>
      <c r="E597" s="121"/>
      <c r="F597" s="121"/>
      <c r="G597" s="121"/>
      <c r="H597" s="121"/>
      <c r="I597" s="121"/>
    </row>
    <row r="598" spans="1:10" s="149" customFormat="1">
      <c r="C598" s="121"/>
      <c r="D598" s="121"/>
      <c r="E598" s="121"/>
      <c r="F598" s="120"/>
      <c r="G598" s="121"/>
      <c r="H598" s="121"/>
      <c r="I598" s="121"/>
      <c r="J598" s="121"/>
    </row>
    <row r="599" spans="1:10" s="149" customFormat="1" ht="38.25">
      <c r="A599" s="133">
        <v>20</v>
      </c>
      <c r="B599" s="99" t="s">
        <v>901</v>
      </c>
      <c r="C599" s="96" t="s">
        <v>165</v>
      </c>
      <c r="D599" s="96"/>
      <c r="E599" s="96"/>
      <c r="F599" s="16"/>
      <c r="G599" s="121"/>
      <c r="H599" s="121"/>
      <c r="I599" s="121"/>
      <c r="J599" s="121"/>
    </row>
    <row r="600" spans="1:10" s="149" customFormat="1">
      <c r="B600" s="15" t="s">
        <v>70</v>
      </c>
      <c r="C600" s="16"/>
      <c r="D600" s="96"/>
      <c r="E600" s="16"/>
      <c r="F600" s="16"/>
      <c r="G600" s="121"/>
      <c r="H600" s="121"/>
      <c r="I600" s="121"/>
      <c r="J600" s="121"/>
    </row>
    <row r="601" spans="1:10" s="149" customFormat="1">
      <c r="B601" s="99" t="s">
        <v>150</v>
      </c>
      <c r="C601" s="16"/>
      <c r="D601" s="16"/>
      <c r="E601" s="16"/>
      <c r="F601" s="16"/>
      <c r="G601" s="121"/>
      <c r="H601" s="121"/>
      <c r="I601" s="121"/>
      <c r="J601" s="121"/>
    </row>
    <row r="602" spans="1:10" s="149" customFormat="1">
      <c r="B602" s="15" t="s">
        <v>151</v>
      </c>
      <c r="C602" s="799">
        <v>7.4999999999999997E-3</v>
      </c>
      <c r="D602" s="96" t="s">
        <v>123</v>
      </c>
      <c r="E602" s="96">
        <f>Lead!E20</f>
        <v>55</v>
      </c>
      <c r="F602" s="96">
        <f>E602*C602</f>
        <v>0.41249999999999998</v>
      </c>
      <c r="G602" s="121"/>
      <c r="H602" s="121"/>
      <c r="I602" s="121"/>
      <c r="J602" s="121"/>
    </row>
    <row r="603" spans="1:10" s="149" customFormat="1">
      <c r="B603" s="15" t="s">
        <v>33</v>
      </c>
      <c r="C603" s="799">
        <v>3.7199999999999997E-2</v>
      </c>
      <c r="D603" s="96" t="s">
        <v>127</v>
      </c>
      <c r="E603" s="96">
        <f>Lead!E29</f>
        <v>650</v>
      </c>
      <c r="F603" s="96">
        <f>E603*C603</f>
        <v>24.18</v>
      </c>
      <c r="G603" s="121"/>
      <c r="H603" s="121"/>
      <c r="I603" s="121"/>
      <c r="J603" s="121"/>
    </row>
    <row r="604" spans="1:10" s="149" customFormat="1">
      <c r="B604" s="99" t="s">
        <v>152</v>
      </c>
      <c r="C604" s="16"/>
      <c r="D604" s="16"/>
      <c r="E604" s="16"/>
      <c r="F604" s="96"/>
      <c r="G604" s="121"/>
      <c r="H604" s="121"/>
      <c r="I604" s="121"/>
      <c r="J604" s="121"/>
    </row>
    <row r="605" spans="1:10" s="149" customFormat="1" ht="25.5">
      <c r="B605" s="15" t="s">
        <v>169</v>
      </c>
      <c r="C605" s="96" t="s">
        <v>166</v>
      </c>
      <c r="D605" s="96" t="s">
        <v>114</v>
      </c>
      <c r="E605" s="96">
        <f>Lead!E47</f>
        <v>200</v>
      </c>
      <c r="F605" s="96">
        <f>E605*C605</f>
        <v>4</v>
      </c>
      <c r="G605" s="121"/>
      <c r="H605" s="121"/>
      <c r="I605" s="121"/>
      <c r="J605" s="121"/>
    </row>
    <row r="606" spans="1:10" s="149" customFormat="1">
      <c r="B606" s="15" t="s">
        <v>153</v>
      </c>
      <c r="C606" s="96">
        <v>0.14000000000000001</v>
      </c>
      <c r="D606" s="96" t="s">
        <v>114</v>
      </c>
      <c r="E606" s="96">
        <f>Lead!E58</f>
        <v>240</v>
      </c>
      <c r="F606" s="96">
        <f>E606*C606</f>
        <v>33.6</v>
      </c>
      <c r="G606" s="121"/>
      <c r="H606" s="121"/>
      <c r="I606" s="121"/>
      <c r="J606" s="121"/>
    </row>
    <row r="607" spans="1:10" s="149" customFormat="1">
      <c r="B607" s="15" t="s">
        <v>113</v>
      </c>
      <c r="C607" s="96">
        <v>0.05</v>
      </c>
      <c r="D607" s="96" t="s">
        <v>114</v>
      </c>
      <c r="E607" s="96">
        <f>Lead!E47</f>
        <v>200</v>
      </c>
      <c r="F607" s="96">
        <f>E607*C607</f>
        <v>10</v>
      </c>
      <c r="G607" s="121"/>
      <c r="H607" s="121"/>
      <c r="I607" s="121"/>
      <c r="J607" s="121"/>
    </row>
    <row r="608" spans="1:10" s="149" customFormat="1">
      <c r="B608" s="15" t="s">
        <v>115</v>
      </c>
      <c r="C608" s="96">
        <v>0.05</v>
      </c>
      <c r="D608" s="96" t="s">
        <v>114</v>
      </c>
      <c r="E608" s="96">
        <f>Lead!E48</f>
        <v>200</v>
      </c>
      <c r="F608" s="96">
        <f>E608*C608</f>
        <v>10</v>
      </c>
      <c r="G608" s="121"/>
      <c r="H608" s="121"/>
      <c r="I608" s="121"/>
      <c r="J608" s="121"/>
    </row>
    <row r="609" spans="1:10" s="149" customFormat="1">
      <c r="B609" s="3" t="s">
        <v>1</v>
      </c>
      <c r="C609" s="4">
        <v>0.05</v>
      </c>
      <c r="D609" s="96" t="s">
        <v>114</v>
      </c>
      <c r="E609" s="96">
        <f>Lead!E47</f>
        <v>200</v>
      </c>
      <c r="F609" s="96">
        <f>E609*C609</f>
        <v>10</v>
      </c>
      <c r="G609" s="121"/>
      <c r="H609" s="121"/>
      <c r="I609" s="121"/>
      <c r="J609" s="121"/>
    </row>
    <row r="610" spans="1:10" s="149" customFormat="1">
      <c r="B610" s="15" t="s">
        <v>322</v>
      </c>
      <c r="C610" s="16"/>
      <c r="D610" s="96" t="s">
        <v>116</v>
      </c>
      <c r="E610" s="96">
        <f>F602+F603+F605+F606+F607+F609+F608</f>
        <v>92.192499999999995</v>
      </c>
      <c r="F610" s="96">
        <f>E610*0.075</f>
        <v>6.9144374999999991</v>
      </c>
      <c r="G610" s="121"/>
      <c r="H610" s="121"/>
      <c r="I610" s="121"/>
      <c r="J610" s="121"/>
    </row>
    <row r="611" spans="1:10" s="149" customFormat="1">
      <c r="B611" s="15" t="s">
        <v>323</v>
      </c>
      <c r="C611" s="16"/>
      <c r="D611" s="96" t="s">
        <v>116</v>
      </c>
      <c r="E611" s="96">
        <f>F602+F603+F605+F606+F607+F608+F609</f>
        <v>92.192499999999995</v>
      </c>
      <c r="F611" s="96">
        <f>E611*0.075</f>
        <v>6.9144374999999991</v>
      </c>
      <c r="G611" s="121"/>
      <c r="H611" s="121"/>
      <c r="I611" s="121"/>
      <c r="J611" s="121"/>
    </row>
    <row r="612" spans="1:10" s="149" customFormat="1">
      <c r="B612" s="99" t="s">
        <v>124</v>
      </c>
      <c r="C612" s="16"/>
      <c r="D612" s="16"/>
      <c r="E612" s="16"/>
      <c r="F612" s="16"/>
      <c r="G612" s="121"/>
      <c r="H612" s="121"/>
      <c r="I612" s="121"/>
      <c r="J612" s="121"/>
    </row>
    <row r="613" spans="1:10" s="149" customFormat="1">
      <c r="B613" s="15" t="s">
        <v>151</v>
      </c>
      <c r="C613" s="799">
        <v>7.4999999999999997E-3</v>
      </c>
      <c r="D613" s="96" t="s">
        <v>123</v>
      </c>
      <c r="E613" s="96">
        <f>Lead!J20</f>
        <v>196.4</v>
      </c>
      <c r="F613" s="96">
        <f>E613*C613</f>
        <v>1.4730000000000001</v>
      </c>
      <c r="G613" s="121"/>
      <c r="H613" s="121"/>
      <c r="I613" s="121"/>
      <c r="J613" s="121"/>
    </row>
    <row r="614" spans="1:10" s="149" customFormat="1">
      <c r="B614" s="15" t="s">
        <v>33</v>
      </c>
      <c r="C614" s="799">
        <v>3.7199999999999997E-2</v>
      </c>
      <c r="D614" s="96" t="s">
        <v>127</v>
      </c>
      <c r="E614" s="96">
        <f>Lead!J29</f>
        <v>16.899999999999999</v>
      </c>
      <c r="F614" s="96">
        <f>E614*C614</f>
        <v>0.62867999999999991</v>
      </c>
      <c r="G614" s="121"/>
      <c r="H614" s="121"/>
      <c r="I614" s="121"/>
      <c r="J614" s="121"/>
    </row>
    <row r="615" spans="1:10" s="149" customFormat="1">
      <c r="B615" s="63" t="s">
        <v>117</v>
      </c>
      <c r="C615" s="777"/>
      <c r="D615" s="16"/>
      <c r="E615" s="16"/>
      <c r="F615" s="16">
        <f>SUM(F602:F614)</f>
        <v>108.12305500000001</v>
      </c>
      <c r="G615" s="121"/>
      <c r="H615" s="121"/>
      <c r="I615" s="121"/>
      <c r="J615" s="121"/>
    </row>
    <row r="616" spans="1:10" s="149" customFormat="1">
      <c r="B616" s="15" t="s">
        <v>429</v>
      </c>
      <c r="C616" s="16"/>
      <c r="D616" s="16"/>
      <c r="E616" s="16"/>
      <c r="F616" s="96">
        <f>F615*1%</f>
        <v>1.0812305500000001</v>
      </c>
      <c r="G616" s="121"/>
      <c r="H616" s="121"/>
      <c r="I616" s="121"/>
      <c r="J616" s="121"/>
    </row>
    <row r="617" spans="1:10" s="149" customFormat="1">
      <c r="B617" s="15"/>
      <c r="C617" s="16"/>
      <c r="D617" s="16"/>
      <c r="E617" s="16"/>
      <c r="F617" s="778">
        <f>SUM(F615:F616)</f>
        <v>109.20428555000001</v>
      </c>
      <c r="G617" s="121"/>
      <c r="H617" s="121"/>
      <c r="I617" s="121"/>
      <c r="J617" s="121"/>
    </row>
    <row r="618" spans="1:10" s="149" customFormat="1">
      <c r="B618" s="45"/>
      <c r="C618" s="777"/>
      <c r="D618" s="777"/>
      <c r="E618" s="777" t="s">
        <v>120</v>
      </c>
      <c r="F618" s="777">
        <f>ROUND(F617,1)</f>
        <v>109.2</v>
      </c>
      <c r="G618" s="121"/>
      <c r="H618" s="121"/>
      <c r="I618" s="121"/>
      <c r="J618" s="121"/>
    </row>
    <row r="619" spans="1:10" s="20" customFormat="1">
      <c r="A619" s="98" t="s">
        <v>38</v>
      </c>
      <c r="B619" s="15" t="s">
        <v>71</v>
      </c>
      <c r="C619" s="777"/>
      <c r="D619" s="96" t="s">
        <v>165</v>
      </c>
      <c r="E619" s="777"/>
      <c r="F619" s="777"/>
      <c r="G619" s="4"/>
      <c r="H619" s="4"/>
    </row>
    <row r="620" spans="1:10" s="20" customFormat="1">
      <c r="A620" s="5"/>
      <c r="B620" s="61" t="s">
        <v>159</v>
      </c>
      <c r="C620" s="777"/>
      <c r="D620" s="777"/>
      <c r="E620" s="777"/>
      <c r="F620" s="96">
        <f>F617</f>
        <v>109.20428555000001</v>
      </c>
      <c r="G620" s="4"/>
      <c r="H620" s="4"/>
    </row>
    <row r="621" spans="1:10" s="20" customFormat="1">
      <c r="A621" s="5"/>
      <c r="B621" s="62" t="s">
        <v>281</v>
      </c>
      <c r="C621" s="4"/>
      <c r="D621" s="16"/>
      <c r="E621" s="96">
        <f>(F605+F606+F607+F608+F609)+(F605+F606+F607+F608+F609)*0.15</f>
        <v>77.739999999999995</v>
      </c>
      <c r="F621" s="96">
        <f>E621*0.03</f>
        <v>2.3321999999999998</v>
      </c>
      <c r="G621" s="4"/>
      <c r="H621" s="4"/>
    </row>
    <row r="622" spans="1:10" s="20" customFormat="1">
      <c r="A622" s="5"/>
      <c r="B622" s="63" t="s">
        <v>117</v>
      </c>
      <c r="C622" s="777"/>
      <c r="D622" s="777"/>
      <c r="E622" s="777"/>
      <c r="F622" s="96">
        <f>SUM(F620:F621)</f>
        <v>111.53648555000001</v>
      </c>
      <c r="G622" s="4"/>
      <c r="H622" s="4"/>
    </row>
    <row r="623" spans="1:10" s="20" customFormat="1">
      <c r="A623" s="5"/>
      <c r="B623" s="45"/>
      <c r="C623" s="777"/>
      <c r="D623" s="777"/>
      <c r="E623" s="777" t="s">
        <v>120</v>
      </c>
      <c r="F623" s="777">
        <f>ROUND(F622,1)</f>
        <v>111.5</v>
      </c>
      <c r="G623" s="4"/>
      <c r="H623" s="4"/>
    </row>
    <row r="624" spans="1:10" s="20" customFormat="1">
      <c r="A624" s="5" t="s">
        <v>39</v>
      </c>
      <c r="B624" s="64" t="s">
        <v>267</v>
      </c>
      <c r="C624" s="777"/>
      <c r="D624" s="777"/>
      <c r="E624" s="777"/>
      <c r="F624" s="777"/>
      <c r="G624" s="4"/>
      <c r="H624" s="4"/>
    </row>
    <row r="625" spans="1:10" s="20" customFormat="1">
      <c r="A625" s="5"/>
      <c r="B625" s="61" t="s">
        <v>283</v>
      </c>
      <c r="C625" s="777"/>
      <c r="D625" s="777"/>
      <c r="E625" s="777"/>
      <c r="F625" s="96">
        <f>F622</f>
        <v>111.53648555000001</v>
      </c>
      <c r="G625" s="4"/>
      <c r="H625" s="4"/>
    </row>
    <row r="626" spans="1:10" s="20" customFormat="1">
      <c r="A626" s="5"/>
      <c r="B626" s="62" t="s">
        <v>282</v>
      </c>
      <c r="C626" s="777"/>
      <c r="D626" s="777"/>
      <c r="E626" s="96">
        <f>E621+F621</f>
        <v>80.072199999999995</v>
      </c>
      <c r="F626" s="96">
        <f>E626*0.03</f>
        <v>2.4021659999999998</v>
      </c>
      <c r="G626" s="4"/>
      <c r="H626" s="4"/>
    </row>
    <row r="627" spans="1:10" s="20" customFormat="1">
      <c r="A627" s="5"/>
      <c r="B627" s="63" t="s">
        <v>117</v>
      </c>
      <c r="C627" s="777"/>
      <c r="D627" s="777"/>
      <c r="E627" s="777"/>
      <c r="F627" s="96">
        <f>SUM(F625:F626)</f>
        <v>113.93865155</v>
      </c>
      <c r="G627" s="4"/>
      <c r="H627" s="4"/>
    </row>
    <row r="628" spans="1:10" s="20" customFormat="1">
      <c r="A628" s="5"/>
      <c r="B628" s="45"/>
      <c r="C628" s="777"/>
      <c r="D628" s="777"/>
      <c r="E628" s="777" t="s">
        <v>120</v>
      </c>
      <c r="F628" s="777">
        <f>ROUND(F627,1)</f>
        <v>113.9</v>
      </c>
      <c r="G628" s="4"/>
      <c r="H628" s="4"/>
    </row>
    <row r="629" spans="1:10" s="149" customFormat="1">
      <c r="B629" s="45"/>
      <c r="C629" s="777"/>
      <c r="D629" s="777"/>
      <c r="E629" s="777"/>
      <c r="F629" s="777"/>
      <c r="G629" s="121"/>
      <c r="H629" s="121"/>
      <c r="I629" s="121"/>
      <c r="J629" s="121"/>
    </row>
    <row r="630" spans="1:10" s="149" customFormat="1">
      <c r="A630" s="133">
        <v>21</v>
      </c>
      <c r="B630" s="99" t="s">
        <v>900</v>
      </c>
      <c r="C630" s="96" t="s">
        <v>165</v>
      </c>
      <c r="D630" s="96"/>
      <c r="E630" s="96"/>
      <c r="F630" s="16"/>
      <c r="G630" s="121"/>
      <c r="H630" s="121"/>
      <c r="I630" s="121"/>
      <c r="J630" s="121"/>
    </row>
    <row r="631" spans="1:10" s="149" customFormat="1">
      <c r="B631" s="15" t="s">
        <v>70</v>
      </c>
      <c r="C631" s="16"/>
      <c r="D631" s="96"/>
      <c r="E631" s="16"/>
      <c r="F631" s="16"/>
      <c r="G631" s="121"/>
      <c r="H631" s="121"/>
      <c r="I631" s="121"/>
      <c r="J631" s="121"/>
    </row>
    <row r="632" spans="1:10" s="149" customFormat="1">
      <c r="B632" s="99" t="s">
        <v>150</v>
      </c>
      <c r="C632" s="16"/>
      <c r="D632" s="16"/>
      <c r="E632" s="16"/>
      <c r="F632" s="16"/>
      <c r="G632" s="121"/>
      <c r="H632" s="121"/>
      <c r="I632" s="121"/>
      <c r="J632" s="121"/>
    </row>
    <row r="633" spans="1:10" s="149" customFormat="1">
      <c r="B633" s="15" t="s">
        <v>151</v>
      </c>
      <c r="C633" s="134">
        <v>1.4999999999999999E-2</v>
      </c>
      <c r="D633" s="96" t="s">
        <v>123</v>
      </c>
      <c r="E633" s="96">
        <f>Lead!E20</f>
        <v>55</v>
      </c>
      <c r="F633" s="96">
        <f>E633*C633</f>
        <v>0.82499999999999996</v>
      </c>
      <c r="G633" s="121"/>
      <c r="H633" s="121"/>
      <c r="I633" s="121"/>
      <c r="J633" s="121"/>
    </row>
    <row r="634" spans="1:10" s="149" customFormat="1">
      <c r="B634" s="15" t="s">
        <v>33</v>
      </c>
      <c r="C634" s="799">
        <v>3.5799999999999998E-2</v>
      </c>
      <c r="D634" s="96" t="s">
        <v>127</v>
      </c>
      <c r="E634" s="96">
        <f>Lead!E29</f>
        <v>650</v>
      </c>
      <c r="F634" s="96">
        <f>E634*C634</f>
        <v>23.27</v>
      </c>
      <c r="G634" s="121"/>
      <c r="H634" s="121"/>
      <c r="I634" s="121"/>
      <c r="J634" s="121"/>
    </row>
    <row r="635" spans="1:10" s="149" customFormat="1">
      <c r="B635" s="99" t="s">
        <v>152</v>
      </c>
      <c r="C635" s="16"/>
      <c r="D635" s="16"/>
      <c r="E635" s="16"/>
      <c r="F635" s="96"/>
      <c r="G635" s="121"/>
      <c r="H635" s="121"/>
      <c r="I635" s="121"/>
      <c r="J635" s="121"/>
    </row>
    <row r="636" spans="1:10" s="149" customFormat="1" ht="25.5">
      <c r="B636" s="15" t="s">
        <v>169</v>
      </c>
      <c r="C636" s="96" t="s">
        <v>166</v>
      </c>
      <c r="D636" s="96" t="s">
        <v>114</v>
      </c>
      <c r="E636" s="96">
        <f>Lead!E47</f>
        <v>200</v>
      </c>
      <c r="F636" s="96">
        <f>E636*C636</f>
        <v>4</v>
      </c>
      <c r="G636" s="121"/>
      <c r="H636" s="121"/>
      <c r="I636" s="121"/>
      <c r="J636" s="121"/>
    </row>
    <row r="637" spans="1:10" s="149" customFormat="1">
      <c r="B637" s="15" t="s">
        <v>153</v>
      </c>
      <c r="C637" s="96" t="s">
        <v>170</v>
      </c>
      <c r="D637" s="96" t="s">
        <v>114</v>
      </c>
      <c r="E637" s="96">
        <f>Lead!E58</f>
        <v>240</v>
      </c>
      <c r="F637" s="96">
        <f>E637*C637</f>
        <v>38.4</v>
      </c>
      <c r="G637" s="121"/>
      <c r="H637" s="121"/>
      <c r="I637" s="121"/>
      <c r="J637" s="121"/>
    </row>
    <row r="638" spans="1:10" s="149" customFormat="1">
      <c r="B638" s="15" t="s">
        <v>113</v>
      </c>
      <c r="C638" s="96" t="s">
        <v>164</v>
      </c>
      <c r="D638" s="96" t="s">
        <v>114</v>
      </c>
      <c r="E638" s="96">
        <f>Lead!E47</f>
        <v>200</v>
      </c>
      <c r="F638" s="96">
        <f>E638*C638</f>
        <v>22</v>
      </c>
      <c r="G638" s="121"/>
      <c r="H638" s="121"/>
      <c r="I638" s="121"/>
      <c r="J638" s="121"/>
    </row>
    <row r="639" spans="1:10" s="149" customFormat="1">
      <c r="B639" s="15" t="s">
        <v>115</v>
      </c>
      <c r="C639" s="96" t="s">
        <v>164</v>
      </c>
      <c r="D639" s="96" t="s">
        <v>114</v>
      </c>
      <c r="E639" s="96">
        <f>Lead!E48</f>
        <v>200</v>
      </c>
      <c r="F639" s="96">
        <f>E639*C639</f>
        <v>22</v>
      </c>
      <c r="G639" s="121"/>
      <c r="H639" s="121"/>
      <c r="I639" s="121"/>
      <c r="J639" s="121"/>
    </row>
    <row r="640" spans="1:10" s="149" customFormat="1">
      <c r="B640" s="15" t="s">
        <v>322</v>
      </c>
      <c r="C640" s="16"/>
      <c r="D640" s="96" t="s">
        <v>116</v>
      </c>
      <c r="E640" s="96">
        <f>SUM(F633:F639)</f>
        <v>110.495</v>
      </c>
      <c r="F640" s="96">
        <f>E640*0.075</f>
        <v>8.2871249999999996</v>
      </c>
      <c r="G640" s="121"/>
      <c r="H640" s="121"/>
      <c r="I640" s="121"/>
      <c r="J640" s="121"/>
    </row>
    <row r="641" spans="1:10" s="149" customFormat="1">
      <c r="B641" s="15" t="s">
        <v>323</v>
      </c>
      <c r="C641" s="16"/>
      <c r="D641" s="96" t="s">
        <v>116</v>
      </c>
      <c r="E641" s="96">
        <f>SUM(F633:F639)</f>
        <v>110.495</v>
      </c>
      <c r="F641" s="96">
        <f>E641*0.075</f>
        <v>8.2871249999999996</v>
      </c>
      <c r="G641" s="121"/>
      <c r="H641" s="121"/>
      <c r="I641" s="121"/>
      <c r="J641" s="121"/>
    </row>
    <row r="642" spans="1:10" s="149" customFormat="1">
      <c r="B642" s="99" t="s">
        <v>124</v>
      </c>
      <c r="C642" s="16"/>
      <c r="D642" s="16"/>
      <c r="E642" s="16"/>
      <c r="F642" s="16"/>
      <c r="G642" s="121"/>
      <c r="H642" s="121"/>
      <c r="I642" s="121"/>
      <c r="J642" s="121"/>
    </row>
    <row r="643" spans="1:10" s="149" customFormat="1">
      <c r="B643" s="15" t="s">
        <v>151</v>
      </c>
      <c r="C643" s="134">
        <v>1.4999999999999999E-2</v>
      </c>
      <c r="D643" s="96" t="s">
        <v>123</v>
      </c>
      <c r="E643" s="96">
        <f>Lead!J20</f>
        <v>196.4</v>
      </c>
      <c r="F643" s="96">
        <f>E643*C643</f>
        <v>2.9460000000000002</v>
      </c>
      <c r="G643" s="121"/>
      <c r="H643" s="121"/>
      <c r="I643" s="121"/>
      <c r="J643" s="121"/>
    </row>
    <row r="644" spans="1:10" s="149" customFormat="1">
      <c r="B644" s="15" t="s">
        <v>33</v>
      </c>
      <c r="C644" s="799">
        <v>3.5799999999999998E-2</v>
      </c>
      <c r="D644" s="96" t="s">
        <v>127</v>
      </c>
      <c r="E644" s="96">
        <f>Lead!J29</f>
        <v>16.899999999999999</v>
      </c>
      <c r="F644" s="96">
        <f>E644*C644</f>
        <v>0.60501999999999989</v>
      </c>
      <c r="G644" s="121"/>
      <c r="H644" s="121"/>
      <c r="I644" s="121"/>
      <c r="J644" s="121"/>
    </row>
    <row r="645" spans="1:10" s="149" customFormat="1">
      <c r="B645" s="63" t="s">
        <v>117</v>
      </c>
      <c r="C645" s="777"/>
      <c r="D645" s="16"/>
      <c r="E645" s="16"/>
      <c r="F645" s="16">
        <f>SUM(F633:F644)</f>
        <v>130.62027</v>
      </c>
      <c r="G645" s="121"/>
      <c r="H645" s="121"/>
      <c r="I645" s="121"/>
      <c r="J645" s="121"/>
    </row>
    <row r="646" spans="1:10" s="149" customFormat="1">
      <c r="B646" s="15" t="s">
        <v>429</v>
      </c>
      <c r="C646" s="16"/>
      <c r="D646" s="16"/>
      <c r="E646" s="16"/>
      <c r="F646" s="96">
        <f>F645*1%</f>
        <v>1.3062027</v>
      </c>
      <c r="G646" s="121"/>
      <c r="H646" s="121"/>
      <c r="I646" s="121"/>
      <c r="J646" s="121"/>
    </row>
    <row r="647" spans="1:10" s="149" customFormat="1">
      <c r="B647" s="15"/>
      <c r="C647" s="16"/>
      <c r="D647" s="16"/>
      <c r="E647" s="16"/>
      <c r="F647" s="778">
        <f>SUM(F645:F646)</f>
        <v>131.92647270000001</v>
      </c>
      <c r="G647" s="121"/>
      <c r="H647" s="121"/>
      <c r="I647" s="121"/>
      <c r="J647" s="121"/>
    </row>
    <row r="648" spans="1:10" s="149" customFormat="1">
      <c r="B648" s="45"/>
      <c r="C648" s="777"/>
      <c r="D648" s="777"/>
      <c r="E648" s="777" t="s">
        <v>120</v>
      </c>
      <c r="F648" s="777">
        <f>ROUND(F647,1)</f>
        <v>131.9</v>
      </c>
      <c r="G648" s="121"/>
      <c r="H648" s="121"/>
      <c r="I648" s="121"/>
      <c r="J648" s="121"/>
    </row>
    <row r="649" spans="1:10" s="149" customFormat="1">
      <c r="C649" s="121"/>
      <c r="D649" s="121"/>
      <c r="E649" s="121"/>
      <c r="F649" s="121"/>
      <c r="G649" s="121"/>
      <c r="H649" s="121"/>
      <c r="I649" s="121"/>
      <c r="J649" s="121"/>
    </row>
    <row r="650" spans="1:10" s="20" customFormat="1">
      <c r="A650" s="98" t="s">
        <v>38</v>
      </c>
      <c r="B650" s="15" t="s">
        <v>71</v>
      </c>
      <c r="C650" s="777"/>
      <c r="D650" s="96" t="s">
        <v>165</v>
      </c>
      <c r="E650" s="777"/>
      <c r="F650" s="777"/>
      <c r="G650" s="4"/>
      <c r="H650" s="4"/>
    </row>
    <row r="651" spans="1:10" s="20" customFormat="1">
      <c r="A651" s="5"/>
      <c r="B651" s="61" t="s">
        <v>159</v>
      </c>
      <c r="C651" s="777"/>
      <c r="D651" s="777"/>
      <c r="E651" s="777"/>
      <c r="F651" s="96">
        <f>F648</f>
        <v>131.9</v>
      </c>
      <c r="G651" s="4"/>
      <c r="H651" s="4"/>
    </row>
    <row r="652" spans="1:10" s="20" customFormat="1">
      <c r="A652" s="5"/>
      <c r="B652" s="62" t="s">
        <v>281</v>
      </c>
      <c r="C652" s="777"/>
      <c r="D652" s="4"/>
      <c r="E652" s="96">
        <f>((F636+F637+F638+F639)+(F636+F637+F638+F639)*0.15)</f>
        <v>99.360000000000014</v>
      </c>
      <c r="F652" s="96">
        <f>E652*3%</f>
        <v>2.9808000000000003</v>
      </c>
      <c r="G652" s="4"/>
      <c r="H652" s="4"/>
    </row>
    <row r="653" spans="1:10" s="20" customFormat="1">
      <c r="A653" s="5"/>
      <c r="B653" s="63" t="s">
        <v>117</v>
      </c>
      <c r="C653" s="777"/>
      <c r="D653" s="777"/>
      <c r="E653" s="777"/>
      <c r="F653" s="96">
        <f>SUM(F651:F652)</f>
        <v>134.88079999999999</v>
      </c>
      <c r="G653" s="4"/>
      <c r="H653" s="4"/>
    </row>
    <row r="654" spans="1:10" s="20" customFormat="1">
      <c r="A654" s="5"/>
      <c r="B654" s="45"/>
      <c r="C654" s="777"/>
      <c r="D654" s="777"/>
      <c r="E654" s="777" t="s">
        <v>120</v>
      </c>
      <c r="F654" s="777">
        <f>ROUND(F653,1)</f>
        <v>134.9</v>
      </c>
      <c r="G654" s="4"/>
      <c r="H654" s="4"/>
    </row>
    <row r="655" spans="1:10" s="20" customFormat="1">
      <c r="A655" s="5" t="s">
        <v>39</v>
      </c>
      <c r="B655" s="64" t="s">
        <v>267</v>
      </c>
      <c r="C655" s="777"/>
      <c r="D655" s="777"/>
      <c r="E655" s="777"/>
      <c r="F655" s="777"/>
      <c r="G655" s="4"/>
      <c r="H655" s="4"/>
    </row>
    <row r="656" spans="1:10" s="20" customFormat="1">
      <c r="A656" s="5"/>
      <c r="B656" s="61" t="s">
        <v>283</v>
      </c>
      <c r="C656" s="777"/>
      <c r="D656" s="777"/>
      <c r="E656" s="777"/>
      <c r="F656" s="96">
        <f>F653</f>
        <v>134.88079999999999</v>
      </c>
      <c r="G656" s="4"/>
      <c r="H656" s="4"/>
    </row>
    <row r="657" spans="1:10" s="20" customFormat="1">
      <c r="A657" s="5"/>
      <c r="B657" s="62" t="s">
        <v>282</v>
      </c>
      <c r="C657" s="777"/>
      <c r="D657" s="777"/>
      <c r="E657" s="96">
        <f>E652+F652</f>
        <v>102.34080000000002</v>
      </c>
      <c r="F657" s="96">
        <f>E657*0.03</f>
        <v>3.0702240000000005</v>
      </c>
      <c r="G657" s="4"/>
      <c r="H657" s="4"/>
    </row>
    <row r="658" spans="1:10" s="20" customFormat="1">
      <c r="A658" s="5"/>
      <c r="B658" s="63" t="s">
        <v>117</v>
      </c>
      <c r="C658" s="777"/>
      <c r="D658" s="777"/>
      <c r="E658" s="777"/>
      <c r="F658" s="96">
        <f>SUM(F656:F657)</f>
        <v>137.95102399999999</v>
      </c>
      <c r="G658" s="4"/>
      <c r="H658" s="4"/>
    </row>
    <row r="659" spans="1:10" s="20" customFormat="1">
      <c r="A659" s="5"/>
      <c r="B659" s="45"/>
      <c r="C659" s="777"/>
      <c r="D659" s="777"/>
      <c r="E659" s="777" t="s">
        <v>120</v>
      </c>
      <c r="F659" s="777">
        <f>ROUND(F658,1)</f>
        <v>138</v>
      </c>
      <c r="G659" s="4"/>
      <c r="H659" s="4"/>
    </row>
    <row r="660" spans="1:10" s="149" customFormat="1">
      <c r="C660" s="121"/>
      <c r="D660" s="121"/>
      <c r="E660" s="121"/>
      <c r="F660" s="121"/>
      <c r="G660" s="121"/>
      <c r="H660" s="121"/>
      <c r="I660" s="121"/>
      <c r="J660" s="121"/>
    </row>
    <row r="661" spans="1:10" s="149" customFormat="1" ht="25.5">
      <c r="A661" s="133">
        <v>22</v>
      </c>
      <c r="B661" s="99" t="s">
        <v>563</v>
      </c>
      <c r="C661" s="96" t="s">
        <v>165</v>
      </c>
      <c r="D661" s="96"/>
      <c r="E661" s="96"/>
      <c r="F661" s="16"/>
      <c r="G661" s="121"/>
      <c r="H661" s="121"/>
      <c r="I661" s="121"/>
      <c r="J661" s="121"/>
    </row>
    <row r="662" spans="1:10" s="149" customFormat="1">
      <c r="B662" s="15" t="s">
        <v>70</v>
      </c>
      <c r="C662" s="16"/>
      <c r="D662" s="96"/>
      <c r="E662" s="16"/>
      <c r="F662" s="16"/>
      <c r="G662" s="121"/>
      <c r="H662" s="121"/>
      <c r="I662" s="121"/>
      <c r="J662" s="121"/>
    </row>
    <row r="663" spans="1:10" s="149" customFormat="1">
      <c r="B663" s="99" t="s">
        <v>150</v>
      </c>
      <c r="C663" s="16"/>
      <c r="D663" s="16"/>
      <c r="E663" s="16"/>
      <c r="F663" s="16"/>
      <c r="G663" s="121"/>
      <c r="H663" s="121"/>
      <c r="I663" s="121"/>
      <c r="J663" s="121"/>
    </row>
    <row r="664" spans="1:10" s="149" customFormat="1">
      <c r="B664" s="15" t="s">
        <v>151</v>
      </c>
      <c r="C664" s="96" t="s">
        <v>167</v>
      </c>
      <c r="D664" s="96" t="s">
        <v>123</v>
      </c>
      <c r="E664" s="96">
        <f>Lead!E20</f>
        <v>55</v>
      </c>
      <c r="F664" s="96">
        <f>E664*C664</f>
        <v>0.98999999999999988</v>
      </c>
      <c r="G664" s="121"/>
      <c r="H664" s="121"/>
      <c r="I664" s="121"/>
      <c r="J664" s="121"/>
    </row>
    <row r="665" spans="1:10" s="149" customFormat="1">
      <c r="B665" s="15" t="s">
        <v>33</v>
      </c>
      <c r="C665" s="96" t="s">
        <v>168</v>
      </c>
      <c r="D665" s="96" t="s">
        <v>127</v>
      </c>
      <c r="E665" s="96">
        <f>Lead!E29</f>
        <v>650</v>
      </c>
      <c r="F665" s="96">
        <f>E665*C665</f>
        <v>27.95</v>
      </c>
      <c r="G665" s="121"/>
      <c r="H665" s="121"/>
      <c r="I665" s="121"/>
      <c r="J665" s="121"/>
    </row>
    <row r="666" spans="1:10" s="149" customFormat="1">
      <c r="B666" s="99" t="s">
        <v>152</v>
      </c>
      <c r="C666" s="16"/>
      <c r="D666" s="16"/>
      <c r="E666" s="16"/>
      <c r="F666" s="96"/>
      <c r="G666" s="121"/>
      <c r="H666" s="121"/>
      <c r="I666" s="121"/>
      <c r="J666" s="121"/>
    </row>
    <row r="667" spans="1:10" s="149" customFormat="1" ht="25.5">
      <c r="B667" s="15" t="s">
        <v>169</v>
      </c>
      <c r="C667" s="96" t="s">
        <v>166</v>
      </c>
      <c r="D667" s="96" t="s">
        <v>114</v>
      </c>
      <c r="E667" s="96">
        <f>Lead!E47</f>
        <v>200</v>
      </c>
      <c r="F667" s="96">
        <f>E667*C667</f>
        <v>4</v>
      </c>
      <c r="G667" s="121"/>
      <c r="H667" s="121"/>
      <c r="I667" s="121"/>
      <c r="J667" s="121"/>
    </row>
    <row r="668" spans="1:10" s="149" customFormat="1">
      <c r="B668" s="15" t="s">
        <v>153</v>
      </c>
      <c r="C668" s="96" t="s">
        <v>170</v>
      </c>
      <c r="D668" s="96" t="s">
        <v>114</v>
      </c>
      <c r="E668" s="96">
        <f>Lead!E58</f>
        <v>240</v>
      </c>
      <c r="F668" s="96">
        <f>E668*C668</f>
        <v>38.4</v>
      </c>
      <c r="G668" s="121"/>
      <c r="H668" s="121"/>
      <c r="I668" s="121"/>
      <c r="J668" s="121"/>
    </row>
    <row r="669" spans="1:10" s="149" customFormat="1">
      <c r="B669" s="15" t="s">
        <v>113</v>
      </c>
      <c r="C669" s="96" t="s">
        <v>164</v>
      </c>
      <c r="D669" s="96" t="s">
        <v>114</v>
      </c>
      <c r="E669" s="96">
        <f>Lead!E47</f>
        <v>200</v>
      </c>
      <c r="F669" s="96">
        <f>E669*C669</f>
        <v>22</v>
      </c>
      <c r="G669" s="121"/>
      <c r="H669" s="121"/>
      <c r="I669" s="121"/>
      <c r="J669" s="121"/>
    </row>
    <row r="670" spans="1:10" s="149" customFormat="1">
      <c r="B670" s="15" t="s">
        <v>115</v>
      </c>
      <c r="C670" s="96" t="s">
        <v>164</v>
      </c>
      <c r="D670" s="96" t="s">
        <v>114</v>
      </c>
      <c r="E670" s="96">
        <f>Lead!E48</f>
        <v>200</v>
      </c>
      <c r="F670" s="96">
        <f>E670*C670</f>
        <v>22</v>
      </c>
      <c r="G670" s="121"/>
      <c r="H670" s="121"/>
      <c r="I670" s="121"/>
      <c r="J670" s="121"/>
    </row>
    <row r="671" spans="1:10" s="149" customFormat="1">
      <c r="B671" s="15" t="s">
        <v>322</v>
      </c>
      <c r="C671" s="16"/>
      <c r="D671" s="96" t="s">
        <v>116</v>
      </c>
      <c r="E671" s="96">
        <f>SUM(F664:F670)</f>
        <v>115.34</v>
      </c>
      <c r="F671" s="96">
        <f>E671*0.075</f>
        <v>8.6504999999999992</v>
      </c>
      <c r="G671" s="121"/>
      <c r="H671" s="121"/>
      <c r="I671" s="121"/>
      <c r="J671" s="121"/>
    </row>
    <row r="672" spans="1:10" s="149" customFormat="1">
      <c r="B672" s="15" t="s">
        <v>323</v>
      </c>
      <c r="C672" s="16"/>
      <c r="D672" s="96" t="s">
        <v>116</v>
      </c>
      <c r="E672" s="96">
        <f>SUM(F664:F670)</f>
        <v>115.34</v>
      </c>
      <c r="F672" s="96">
        <f>E672*0.075</f>
        <v>8.6504999999999992</v>
      </c>
      <c r="G672" s="121"/>
      <c r="H672" s="121"/>
      <c r="I672" s="121"/>
      <c r="J672" s="121"/>
    </row>
    <row r="673" spans="1:10" s="149" customFormat="1">
      <c r="B673" s="99" t="s">
        <v>124</v>
      </c>
      <c r="C673" s="16"/>
      <c r="D673" s="16"/>
      <c r="E673" s="16"/>
      <c r="F673" s="16"/>
      <c r="G673" s="121"/>
      <c r="H673" s="121"/>
      <c r="I673" s="121"/>
      <c r="J673" s="121"/>
    </row>
    <row r="674" spans="1:10" s="149" customFormat="1">
      <c r="B674" s="15" t="s">
        <v>151</v>
      </c>
      <c r="C674" s="96" t="s">
        <v>167</v>
      </c>
      <c r="D674" s="96" t="s">
        <v>123</v>
      </c>
      <c r="E674" s="96">
        <f>Lead!J20</f>
        <v>196.4</v>
      </c>
      <c r="F674" s="96">
        <f>E674*C674</f>
        <v>3.5351999999999997</v>
      </c>
      <c r="G674" s="121"/>
      <c r="H674" s="121"/>
      <c r="I674" s="121"/>
      <c r="J674" s="121"/>
    </row>
    <row r="675" spans="1:10" s="149" customFormat="1">
      <c r="B675" s="15" t="s">
        <v>33</v>
      </c>
      <c r="C675" s="96" t="s">
        <v>168</v>
      </c>
      <c r="D675" s="96" t="s">
        <v>127</v>
      </c>
      <c r="E675" s="96">
        <f>Lead!J29</f>
        <v>16.899999999999999</v>
      </c>
      <c r="F675" s="96">
        <f>E675*C675</f>
        <v>0.7266999999999999</v>
      </c>
      <c r="G675" s="121"/>
      <c r="H675" s="121"/>
      <c r="I675" s="121"/>
      <c r="J675" s="121"/>
    </row>
    <row r="676" spans="1:10" s="149" customFormat="1">
      <c r="B676" s="63" t="s">
        <v>117</v>
      </c>
      <c r="C676" s="777"/>
      <c r="D676" s="16"/>
      <c r="E676" s="16"/>
      <c r="F676" s="16">
        <f>SUM(F664:F675)</f>
        <v>136.90289999999999</v>
      </c>
      <c r="G676" s="121"/>
      <c r="H676" s="121"/>
      <c r="I676" s="121"/>
      <c r="J676" s="121"/>
    </row>
    <row r="677" spans="1:10" s="149" customFormat="1">
      <c r="B677" s="15" t="s">
        <v>429</v>
      </c>
      <c r="C677" s="16"/>
      <c r="D677" s="16"/>
      <c r="E677" s="16"/>
      <c r="F677" s="96">
        <f>F676*1%</f>
        <v>1.3690289999999998</v>
      </c>
      <c r="G677" s="121"/>
      <c r="H677" s="121"/>
      <c r="I677" s="121"/>
      <c r="J677" s="121"/>
    </row>
    <row r="678" spans="1:10" s="149" customFormat="1">
      <c r="B678" s="15"/>
      <c r="C678" s="16"/>
      <c r="D678" s="16"/>
      <c r="E678" s="16"/>
      <c r="F678" s="778">
        <f>SUM(F676:F677)</f>
        <v>138.271929</v>
      </c>
      <c r="G678" s="121"/>
      <c r="H678" s="121"/>
      <c r="I678" s="121"/>
      <c r="J678" s="121"/>
    </row>
    <row r="679" spans="1:10" s="149" customFormat="1">
      <c r="B679" s="45"/>
      <c r="C679" s="777"/>
      <c r="D679" s="777"/>
      <c r="E679" s="777" t="s">
        <v>120</v>
      </c>
      <c r="F679" s="777">
        <f>ROUND(F678,1)</f>
        <v>138.30000000000001</v>
      </c>
      <c r="G679" s="121"/>
      <c r="H679" s="121"/>
      <c r="I679" s="121"/>
      <c r="J679" s="121"/>
    </row>
    <row r="680" spans="1:10" s="20" customFormat="1">
      <c r="A680" s="98" t="s">
        <v>38</v>
      </c>
      <c r="B680" s="15" t="s">
        <v>71</v>
      </c>
      <c r="C680" s="777"/>
      <c r="D680" s="96" t="s">
        <v>165</v>
      </c>
      <c r="E680" s="777"/>
      <c r="F680" s="777"/>
      <c r="G680" s="4"/>
      <c r="H680" s="4"/>
    </row>
    <row r="681" spans="1:10" s="20" customFormat="1">
      <c r="A681" s="5"/>
      <c r="B681" s="61" t="s">
        <v>159</v>
      </c>
      <c r="C681" s="777"/>
      <c r="D681" s="777"/>
      <c r="E681" s="777"/>
      <c r="F681" s="96">
        <f>F678</f>
        <v>138.271929</v>
      </c>
      <c r="G681" s="4"/>
      <c r="H681" s="4"/>
    </row>
    <row r="682" spans="1:10" s="20" customFormat="1">
      <c r="A682" s="5"/>
      <c r="B682" s="62" t="s">
        <v>281</v>
      </c>
      <c r="C682" s="777"/>
      <c r="D682" s="16"/>
      <c r="E682" s="96">
        <f>((F667+F668+F669+F670)+(F667+F668+F669+F670)*0.15)</f>
        <v>99.360000000000014</v>
      </c>
      <c r="F682" s="96">
        <f>E682*0.03</f>
        <v>2.9808000000000003</v>
      </c>
      <c r="G682" s="4"/>
      <c r="H682" s="4"/>
    </row>
    <row r="683" spans="1:10" s="20" customFormat="1">
      <c r="A683" s="5"/>
      <c r="B683" s="63" t="s">
        <v>117</v>
      </c>
      <c r="C683" s="777"/>
      <c r="D683" s="777"/>
      <c r="E683" s="777"/>
      <c r="F683" s="96">
        <f>SUM(F681:F682)</f>
        <v>141.25272899999999</v>
      </c>
      <c r="G683" s="4"/>
      <c r="H683" s="4"/>
    </row>
    <row r="684" spans="1:10" s="20" customFormat="1">
      <c r="A684" s="5"/>
      <c r="B684" s="45"/>
      <c r="C684" s="777"/>
      <c r="D684" s="777"/>
      <c r="E684" s="777" t="s">
        <v>120</v>
      </c>
      <c r="F684" s="777">
        <f>ROUND(F683,1)</f>
        <v>141.30000000000001</v>
      </c>
      <c r="G684" s="4"/>
      <c r="H684" s="4"/>
    </row>
    <row r="685" spans="1:10" s="20" customFormat="1">
      <c r="A685" s="5" t="s">
        <v>39</v>
      </c>
      <c r="B685" s="64" t="s">
        <v>267</v>
      </c>
      <c r="C685" s="777"/>
      <c r="D685" s="777"/>
      <c r="E685" s="777"/>
      <c r="F685" s="777"/>
      <c r="G685" s="4"/>
      <c r="H685" s="4"/>
    </row>
    <row r="686" spans="1:10" s="20" customFormat="1">
      <c r="A686" s="5"/>
      <c r="B686" s="61" t="s">
        <v>283</v>
      </c>
      <c r="C686" s="777"/>
      <c r="D686" s="777"/>
      <c r="E686" s="777"/>
      <c r="F686" s="96">
        <f>F683</f>
        <v>141.25272899999999</v>
      </c>
      <c r="G686" s="4"/>
      <c r="H686" s="4"/>
    </row>
    <row r="687" spans="1:10" s="20" customFormat="1">
      <c r="A687" s="5"/>
      <c r="B687" s="62" t="s">
        <v>282</v>
      </c>
      <c r="C687" s="777"/>
      <c r="D687" s="777"/>
      <c r="E687" s="96">
        <f>E682+F682</f>
        <v>102.34080000000002</v>
      </c>
      <c r="F687" s="96">
        <f>E687*0.03</f>
        <v>3.0702240000000005</v>
      </c>
      <c r="G687" s="4"/>
      <c r="H687" s="4"/>
    </row>
    <row r="688" spans="1:10" s="20" customFormat="1">
      <c r="A688" s="5"/>
      <c r="B688" s="63" t="s">
        <v>117</v>
      </c>
      <c r="C688" s="777"/>
      <c r="D688" s="777"/>
      <c r="E688" s="777"/>
      <c r="F688" s="96">
        <f>SUM(F686:F687)</f>
        <v>144.32295299999998</v>
      </c>
      <c r="G688" s="4"/>
      <c r="H688" s="4"/>
    </row>
    <row r="689" spans="1:10" s="20" customFormat="1">
      <c r="A689" s="5"/>
      <c r="B689" s="45"/>
      <c r="C689" s="777"/>
      <c r="D689" s="777"/>
      <c r="E689" s="777" t="s">
        <v>120</v>
      </c>
      <c r="F689" s="777">
        <f>ROUND(F688,1)</f>
        <v>144.30000000000001</v>
      </c>
      <c r="G689" s="4"/>
      <c r="H689" s="4"/>
    </row>
    <row r="690" spans="1:10" s="149" customFormat="1">
      <c r="C690" s="121"/>
      <c r="D690" s="121"/>
      <c r="E690" s="121"/>
      <c r="F690" s="121"/>
      <c r="G690" s="121"/>
      <c r="H690" s="121"/>
      <c r="I690" s="121"/>
      <c r="J690" s="121"/>
    </row>
    <row r="691" spans="1:10" s="149" customFormat="1" ht="25.5">
      <c r="A691" s="133">
        <v>23</v>
      </c>
      <c r="B691" s="129" t="s">
        <v>528</v>
      </c>
      <c r="C691" s="96" t="s">
        <v>165</v>
      </c>
      <c r="D691" s="134"/>
      <c r="E691" s="96"/>
      <c r="F691" s="16"/>
      <c r="G691" s="121"/>
      <c r="H691" s="121"/>
      <c r="I691" s="121"/>
      <c r="J691" s="121"/>
    </row>
    <row r="692" spans="1:10" s="149" customFormat="1">
      <c r="B692" s="3" t="s">
        <v>70</v>
      </c>
      <c r="C692" s="16"/>
      <c r="D692" s="134"/>
      <c r="E692" s="16"/>
      <c r="F692" s="16"/>
      <c r="G692" s="121"/>
      <c r="H692" s="121"/>
      <c r="I692" s="121"/>
      <c r="J692" s="121"/>
    </row>
    <row r="693" spans="1:10" s="149" customFormat="1">
      <c r="B693" s="19" t="s">
        <v>4</v>
      </c>
      <c r="C693" s="16"/>
      <c r="D693" s="57"/>
      <c r="E693" s="16"/>
      <c r="F693" s="16"/>
      <c r="G693" s="121"/>
      <c r="H693" s="121"/>
      <c r="I693" s="121"/>
      <c r="J693" s="121"/>
    </row>
    <row r="694" spans="1:10" s="149" customFormat="1">
      <c r="B694" s="19" t="s">
        <v>28</v>
      </c>
      <c r="C694" s="16"/>
      <c r="D694" s="57"/>
      <c r="E694" s="16"/>
      <c r="F694" s="16"/>
      <c r="G694" s="121"/>
      <c r="H694" s="121"/>
      <c r="I694" s="121"/>
      <c r="J694" s="121"/>
    </row>
    <row r="695" spans="1:10" s="149" customFormat="1">
      <c r="B695" s="19" t="s">
        <v>529</v>
      </c>
      <c r="C695" s="16">
        <v>8</v>
      </c>
      <c r="D695" s="57" t="s">
        <v>18</v>
      </c>
      <c r="E695" s="16">
        <v>30</v>
      </c>
      <c r="F695" s="16">
        <f>E695*C695</f>
        <v>240</v>
      </c>
      <c r="G695" s="121"/>
      <c r="H695" s="121"/>
      <c r="I695" s="121"/>
      <c r="J695" s="121"/>
    </row>
    <row r="696" spans="1:10" s="149" customFormat="1">
      <c r="B696" s="136" t="s">
        <v>111</v>
      </c>
      <c r="C696" s="16"/>
      <c r="D696" s="57"/>
      <c r="E696" s="16"/>
      <c r="F696" s="16"/>
      <c r="G696" s="121"/>
      <c r="H696" s="121"/>
      <c r="I696" s="121"/>
      <c r="J696" s="121"/>
    </row>
    <row r="697" spans="1:10" s="149" customFormat="1">
      <c r="B697" s="19" t="s">
        <v>329</v>
      </c>
      <c r="C697" s="16">
        <v>0.5</v>
      </c>
      <c r="D697" s="57" t="s">
        <v>114</v>
      </c>
      <c r="E697" s="16">
        <f>Lead!J57</f>
        <v>240</v>
      </c>
      <c r="F697" s="16">
        <f>E697*C697</f>
        <v>120</v>
      </c>
      <c r="G697" s="121"/>
      <c r="H697" s="121"/>
      <c r="I697" s="121"/>
      <c r="J697" s="121"/>
    </row>
    <row r="698" spans="1:10" s="149" customFormat="1">
      <c r="B698" s="19" t="s">
        <v>27</v>
      </c>
      <c r="C698" s="16">
        <v>0.5</v>
      </c>
      <c r="D698" s="57" t="s">
        <v>114</v>
      </c>
      <c r="E698" s="16">
        <f>Lead!E47</f>
        <v>200</v>
      </c>
      <c r="F698" s="16">
        <f>E698*C698</f>
        <v>100</v>
      </c>
      <c r="G698" s="121"/>
      <c r="H698" s="121"/>
      <c r="I698" s="121"/>
      <c r="J698" s="121"/>
    </row>
    <row r="699" spans="1:10" s="149" customFormat="1">
      <c r="B699" s="19" t="s">
        <v>7</v>
      </c>
      <c r="C699" s="16">
        <v>7.0000000000000007E-2</v>
      </c>
      <c r="D699" s="57" t="s">
        <v>114</v>
      </c>
      <c r="E699" s="16">
        <f>Lead!E47</f>
        <v>200</v>
      </c>
      <c r="F699" s="16">
        <f>E699*C699</f>
        <v>14.000000000000002</v>
      </c>
      <c r="G699" s="121"/>
      <c r="H699" s="121"/>
      <c r="I699" s="121"/>
      <c r="J699" s="121"/>
    </row>
    <row r="700" spans="1:10" s="149" customFormat="1">
      <c r="B700" s="15" t="s">
        <v>322</v>
      </c>
      <c r="C700" s="16"/>
      <c r="D700" s="134" t="s">
        <v>116</v>
      </c>
      <c r="E700" s="96">
        <f>SUM(F695:F699)</f>
        <v>474</v>
      </c>
      <c r="F700" s="96">
        <f>E700*0.075</f>
        <v>35.549999999999997</v>
      </c>
      <c r="G700" s="121"/>
      <c r="H700" s="121"/>
      <c r="I700" s="121"/>
      <c r="J700" s="121"/>
    </row>
    <row r="701" spans="1:10" s="149" customFormat="1">
      <c r="B701" s="15" t="s">
        <v>323</v>
      </c>
      <c r="C701" s="16"/>
      <c r="D701" s="134" t="s">
        <v>116</v>
      </c>
      <c r="E701" s="96">
        <f>SUM(F695:F699)</f>
        <v>474</v>
      </c>
      <c r="F701" s="96">
        <f>E701*0.075</f>
        <v>35.549999999999997</v>
      </c>
      <c r="G701" s="121"/>
      <c r="H701" s="121"/>
      <c r="I701" s="121"/>
      <c r="J701" s="121"/>
    </row>
    <row r="702" spans="1:10" s="149" customFormat="1">
      <c r="B702" s="3" t="s">
        <v>117</v>
      </c>
      <c r="C702" s="16"/>
      <c r="D702" s="57"/>
      <c r="E702" s="16"/>
      <c r="F702" s="16">
        <f>SUM(F695:F701)</f>
        <v>545.1</v>
      </c>
      <c r="G702" s="121"/>
      <c r="H702" s="121"/>
      <c r="I702" s="121"/>
      <c r="J702" s="121"/>
    </row>
    <row r="703" spans="1:10" s="149" customFormat="1">
      <c r="B703" s="3" t="s">
        <v>50</v>
      </c>
      <c r="C703" s="16"/>
      <c r="D703" s="57"/>
      <c r="E703" s="16"/>
      <c r="F703" s="16">
        <f>F702/10</f>
        <v>54.510000000000005</v>
      </c>
      <c r="G703" s="121"/>
      <c r="H703" s="121"/>
      <c r="I703" s="121"/>
      <c r="J703" s="121"/>
    </row>
    <row r="704" spans="1:10" s="149" customFormat="1">
      <c r="B704" s="63" t="s">
        <v>530</v>
      </c>
      <c r="C704" s="96"/>
      <c r="D704" s="96"/>
      <c r="E704" s="96"/>
      <c r="F704" s="96">
        <f>F703*0.01</f>
        <v>0.54510000000000003</v>
      </c>
      <c r="G704" s="121"/>
      <c r="H704" s="121"/>
      <c r="I704" s="121"/>
      <c r="J704" s="121"/>
    </row>
    <row r="705" spans="1:10" s="149" customFormat="1">
      <c r="B705" s="63" t="s">
        <v>117</v>
      </c>
      <c r="C705" s="96"/>
      <c r="D705" s="96"/>
      <c r="E705" s="96"/>
      <c r="F705" s="96">
        <f>SUM(F703:F704)</f>
        <v>55.055100000000003</v>
      </c>
      <c r="G705" s="121"/>
      <c r="H705" s="121"/>
      <c r="I705" s="121"/>
      <c r="J705" s="121"/>
    </row>
    <row r="706" spans="1:10" s="149" customFormat="1">
      <c r="B706" s="45"/>
      <c r="C706" s="777"/>
      <c r="D706" s="798"/>
      <c r="E706" s="777" t="s">
        <v>120</v>
      </c>
      <c r="F706" s="777">
        <f>ROUND(F705,1)</f>
        <v>55.1</v>
      </c>
      <c r="G706" s="121"/>
      <c r="H706" s="121"/>
      <c r="I706" s="121"/>
      <c r="J706" s="121"/>
    </row>
    <row r="707" spans="1:10" s="20" customFormat="1">
      <c r="A707" s="5" t="s">
        <v>38</v>
      </c>
      <c r="B707" s="64" t="s">
        <v>71</v>
      </c>
      <c r="C707" s="798"/>
      <c r="D707" s="798"/>
      <c r="E707" s="798"/>
      <c r="F707" s="798"/>
      <c r="G707" s="4"/>
      <c r="H707" s="4"/>
    </row>
    <row r="708" spans="1:10" s="20" customFormat="1">
      <c r="A708" s="5"/>
      <c r="B708" s="19" t="s">
        <v>331</v>
      </c>
      <c r="C708" s="57"/>
      <c r="D708" s="57"/>
      <c r="E708" s="57"/>
      <c r="F708" s="57">
        <f>F705</f>
        <v>55.055100000000003</v>
      </c>
      <c r="G708" s="4"/>
      <c r="H708" s="4"/>
    </row>
    <row r="709" spans="1:10" s="20" customFormat="1">
      <c r="A709" s="5"/>
      <c r="B709" s="62" t="s">
        <v>281</v>
      </c>
      <c r="C709" s="57"/>
      <c r="D709" s="4"/>
      <c r="E709" s="57">
        <f>((F697+F698+F699)+(F697+F698+F699)*0.15)/10</f>
        <v>26.910000000000004</v>
      </c>
      <c r="F709" s="57">
        <f>E709*0.03</f>
        <v>0.80730000000000013</v>
      </c>
      <c r="G709" s="4"/>
      <c r="H709" s="4"/>
    </row>
    <row r="710" spans="1:10" s="20" customFormat="1">
      <c r="A710" s="5"/>
      <c r="B710" s="63" t="s">
        <v>117</v>
      </c>
      <c r="C710" s="57"/>
      <c r="D710" s="57"/>
      <c r="E710" s="57"/>
      <c r="F710" s="57">
        <f>SUM(F708:F709)</f>
        <v>55.862400000000001</v>
      </c>
      <c r="G710" s="4"/>
      <c r="H710" s="4"/>
    </row>
    <row r="711" spans="1:10" s="20" customFormat="1">
      <c r="A711" s="5"/>
      <c r="B711" s="45"/>
      <c r="C711" s="798"/>
      <c r="D711" s="798"/>
      <c r="E711" s="798" t="s">
        <v>120</v>
      </c>
      <c r="F711" s="798">
        <f>ROUND(F710,1)</f>
        <v>55.9</v>
      </c>
      <c r="G711" s="4"/>
      <c r="H711" s="4"/>
    </row>
    <row r="712" spans="1:10" s="20" customFormat="1">
      <c r="A712" s="4" t="s">
        <v>39</v>
      </c>
      <c r="B712" s="19" t="s">
        <v>267</v>
      </c>
      <c r="C712" s="57"/>
      <c r="D712" s="57"/>
      <c r="E712" s="57"/>
      <c r="F712" s="57"/>
      <c r="G712" s="4"/>
      <c r="H712" s="4"/>
    </row>
    <row r="713" spans="1:10" s="20" customFormat="1">
      <c r="A713" s="4"/>
      <c r="B713" s="19" t="s">
        <v>278</v>
      </c>
      <c r="C713" s="57"/>
      <c r="D713" s="57"/>
      <c r="E713" s="57"/>
      <c r="F713" s="57">
        <f>F710</f>
        <v>55.862400000000001</v>
      </c>
      <c r="G713" s="4"/>
      <c r="H713" s="4"/>
    </row>
    <row r="714" spans="1:10" s="20" customFormat="1">
      <c r="A714" s="4"/>
      <c r="B714" s="62" t="s">
        <v>282</v>
      </c>
      <c r="C714" s="57"/>
      <c r="D714" s="57"/>
      <c r="E714" s="57">
        <f>E709+F709</f>
        <v>27.717300000000005</v>
      </c>
      <c r="F714" s="57">
        <f>E714*0.03</f>
        <v>0.83151900000000012</v>
      </c>
      <c r="G714" s="4"/>
      <c r="H714" s="4"/>
    </row>
    <row r="715" spans="1:10" s="20" customFormat="1">
      <c r="A715" s="4"/>
      <c r="B715" s="63" t="s">
        <v>117</v>
      </c>
      <c r="C715" s="57"/>
      <c r="D715" s="57"/>
      <c r="E715" s="57"/>
      <c r="F715" s="57">
        <f>SUM(F713:F714)</f>
        <v>56.693919000000001</v>
      </c>
      <c r="G715" s="4"/>
      <c r="H715" s="4"/>
    </row>
    <row r="716" spans="1:10" s="149" customFormat="1">
      <c r="C716" s="121"/>
      <c r="D716" s="121"/>
      <c r="E716" s="121"/>
      <c r="F716" s="121"/>
      <c r="G716" s="121"/>
      <c r="H716" s="121"/>
      <c r="I716" s="121"/>
      <c r="J716" s="121"/>
    </row>
    <row r="717" spans="1:10" s="149" customFormat="1" ht="53.25" customHeight="1">
      <c r="A717" s="133">
        <v>24</v>
      </c>
      <c r="B717" s="129" t="s">
        <v>1010</v>
      </c>
      <c r="C717" s="4"/>
      <c r="D717" s="138" t="s">
        <v>165</v>
      </c>
      <c r="E717" s="4"/>
      <c r="F717" s="4"/>
      <c r="G717" s="121"/>
      <c r="H717" s="121"/>
      <c r="I717" s="121"/>
      <c r="J717" s="121"/>
    </row>
    <row r="718" spans="1:10" s="149" customFormat="1">
      <c r="A718" s="133"/>
      <c r="B718" s="19" t="s">
        <v>4</v>
      </c>
      <c r="C718" s="4"/>
      <c r="D718" s="4"/>
      <c r="E718" s="4"/>
      <c r="F718" s="4"/>
      <c r="G718" s="121"/>
      <c r="H718" s="121"/>
      <c r="I718" s="121"/>
      <c r="J718" s="121"/>
    </row>
    <row r="719" spans="1:10" s="149" customFormat="1">
      <c r="A719" s="133"/>
      <c r="B719" s="3" t="s">
        <v>1008</v>
      </c>
      <c r="C719" s="8"/>
      <c r="D719" s="8"/>
      <c r="E719" s="8"/>
      <c r="F719" s="8"/>
      <c r="G719" s="121"/>
      <c r="H719" s="121"/>
      <c r="I719" s="121"/>
      <c r="J719" s="121"/>
    </row>
    <row r="720" spans="1:10" s="149" customFormat="1">
      <c r="A720" s="133"/>
      <c r="B720" s="439" t="s">
        <v>1206</v>
      </c>
      <c r="C720" s="16"/>
      <c r="D720" s="57"/>
      <c r="E720" s="16"/>
      <c r="F720" s="16"/>
      <c r="G720" s="121"/>
      <c r="H720" s="121"/>
      <c r="I720" s="121"/>
      <c r="J720" s="121"/>
    </row>
    <row r="721" spans="1:10" s="149" customFormat="1">
      <c r="A721" s="133"/>
      <c r="B721" s="19" t="s">
        <v>529</v>
      </c>
      <c r="C721" s="16">
        <v>8</v>
      </c>
      <c r="D721" s="57" t="s">
        <v>18</v>
      </c>
      <c r="E721" s="16">
        <v>30</v>
      </c>
      <c r="F721" s="16">
        <f>E721*C721</f>
        <v>240</v>
      </c>
      <c r="G721" s="121"/>
      <c r="H721" s="121"/>
      <c r="I721" s="121"/>
      <c r="J721" s="121"/>
    </row>
    <row r="722" spans="1:10" s="149" customFormat="1">
      <c r="A722" s="133"/>
      <c r="B722" s="439" t="s">
        <v>111</v>
      </c>
      <c r="C722" s="16"/>
      <c r="D722" s="57"/>
      <c r="E722" s="16"/>
      <c r="F722" s="16"/>
      <c r="G722" s="121"/>
      <c r="H722" s="121"/>
      <c r="I722" s="121"/>
      <c r="J722" s="121"/>
    </row>
    <row r="723" spans="1:10" s="149" customFormat="1">
      <c r="A723" s="133"/>
      <c r="B723" s="19" t="s">
        <v>329</v>
      </c>
      <c r="C723" s="16">
        <v>0.5</v>
      </c>
      <c r="D723" s="800" t="s">
        <v>114</v>
      </c>
      <c r="E723" s="16">
        <f>Lead!J57</f>
        <v>240</v>
      </c>
      <c r="F723" s="16">
        <f>E723*C723</f>
        <v>120</v>
      </c>
      <c r="G723" s="121"/>
      <c r="H723" s="121"/>
      <c r="I723" s="121"/>
      <c r="J723" s="121"/>
    </row>
    <row r="724" spans="1:10" s="149" customFormat="1">
      <c r="A724" s="133"/>
      <c r="B724" s="19" t="s">
        <v>27</v>
      </c>
      <c r="C724" s="16">
        <v>0.5</v>
      </c>
      <c r="D724" s="800" t="s">
        <v>114</v>
      </c>
      <c r="E724" s="16">
        <f>Lead!E47</f>
        <v>200</v>
      </c>
      <c r="F724" s="16">
        <f>E724*C724</f>
        <v>100</v>
      </c>
      <c r="G724" s="121"/>
      <c r="H724" s="121"/>
      <c r="I724" s="121"/>
      <c r="J724" s="121"/>
    </row>
    <row r="725" spans="1:10" s="149" customFormat="1">
      <c r="A725" s="133"/>
      <c r="B725" s="19" t="s">
        <v>7</v>
      </c>
      <c r="C725" s="16">
        <v>7.0000000000000007E-2</v>
      </c>
      <c r="D725" s="800" t="s">
        <v>114</v>
      </c>
      <c r="E725" s="16">
        <f>E724</f>
        <v>200</v>
      </c>
      <c r="F725" s="16">
        <f>E725*C725</f>
        <v>14.000000000000002</v>
      </c>
      <c r="G725" s="121"/>
      <c r="H725" s="121"/>
      <c r="I725" s="121"/>
      <c r="J725" s="121"/>
    </row>
    <row r="726" spans="1:10" s="149" customFormat="1">
      <c r="A726" s="133"/>
      <c r="B726" s="15" t="s">
        <v>322</v>
      </c>
      <c r="C726" s="16"/>
      <c r="D726" s="134" t="s">
        <v>116</v>
      </c>
      <c r="E726" s="96">
        <f>SUM(F721:F725)</f>
        <v>474</v>
      </c>
      <c r="F726" s="96">
        <f>E726*0.075</f>
        <v>35.549999999999997</v>
      </c>
      <c r="G726" s="121"/>
      <c r="H726" s="121"/>
      <c r="I726" s="121"/>
      <c r="J726" s="121"/>
    </row>
    <row r="727" spans="1:10" s="149" customFormat="1">
      <c r="A727" s="133"/>
      <c r="B727" s="15" t="s">
        <v>323</v>
      </c>
      <c r="C727" s="16"/>
      <c r="D727" s="134" t="s">
        <v>116</v>
      </c>
      <c r="E727" s="96">
        <f>SUM(F721:F725)</f>
        <v>474</v>
      </c>
      <c r="F727" s="96">
        <f>E727*0.075</f>
        <v>35.549999999999997</v>
      </c>
      <c r="G727" s="121"/>
      <c r="H727" s="121"/>
      <c r="I727" s="121"/>
      <c r="J727" s="121"/>
    </row>
    <row r="728" spans="1:10" s="149" customFormat="1">
      <c r="A728" s="133"/>
      <c r="B728" s="440" t="s">
        <v>117</v>
      </c>
      <c r="C728" s="16"/>
      <c r="D728" s="57"/>
      <c r="E728" s="16"/>
      <c r="F728" s="16">
        <f>SUM(F721:F727)</f>
        <v>545.1</v>
      </c>
      <c r="G728" s="121"/>
      <c r="H728" s="121"/>
      <c r="I728" s="121"/>
      <c r="J728" s="121"/>
    </row>
    <row r="729" spans="1:10" s="149" customFormat="1">
      <c r="A729" s="133"/>
      <c r="B729" s="441" t="s">
        <v>3</v>
      </c>
      <c r="C729" s="16"/>
      <c r="D729" s="57"/>
      <c r="E729" s="16"/>
      <c r="F729" s="16">
        <f>F728/10</f>
        <v>54.510000000000005</v>
      </c>
      <c r="G729" s="121"/>
      <c r="H729" s="121"/>
      <c r="I729" s="121"/>
      <c r="J729" s="121"/>
    </row>
    <row r="730" spans="1:10" s="149" customFormat="1">
      <c r="A730" s="133"/>
      <c r="B730" s="439" t="s">
        <v>5</v>
      </c>
      <c r="C730" s="8"/>
      <c r="D730" s="8"/>
      <c r="E730" s="8"/>
      <c r="F730" s="8"/>
      <c r="G730" s="121"/>
      <c r="H730" s="121"/>
      <c r="I730" s="121"/>
      <c r="J730" s="121"/>
    </row>
    <row r="731" spans="1:10" s="149" customFormat="1">
      <c r="A731" s="133"/>
      <c r="B731" s="441" t="s">
        <v>6</v>
      </c>
      <c r="C731" s="8">
        <v>0.54</v>
      </c>
      <c r="D731" s="8" t="s">
        <v>114</v>
      </c>
      <c r="E731" s="801">
        <f>Lead!J66</f>
        <v>260</v>
      </c>
      <c r="F731" s="11">
        <f>E731*C731</f>
        <v>140.4</v>
      </c>
      <c r="G731" s="121"/>
      <c r="H731" s="121"/>
      <c r="I731" s="121"/>
      <c r="J731" s="121"/>
    </row>
    <row r="732" spans="1:10" s="149" customFormat="1">
      <c r="A732" s="133"/>
      <c r="B732" s="441" t="s">
        <v>27</v>
      </c>
      <c r="C732" s="8">
        <v>0.54</v>
      </c>
      <c r="D732" s="8" t="s">
        <v>114</v>
      </c>
      <c r="E732" s="801">
        <f>Lead!E47</f>
        <v>200</v>
      </c>
      <c r="F732" s="11">
        <f>E732*C732</f>
        <v>108</v>
      </c>
      <c r="G732" s="121"/>
      <c r="H732" s="121"/>
      <c r="I732" s="121"/>
      <c r="J732" s="121"/>
    </row>
    <row r="733" spans="1:10" s="149" customFormat="1">
      <c r="A733" s="133"/>
      <c r="B733" s="441" t="s">
        <v>7</v>
      </c>
      <c r="C733" s="11">
        <v>0.1</v>
      </c>
      <c r="D733" s="8" t="s">
        <v>114</v>
      </c>
      <c r="E733" s="801">
        <f>E732</f>
        <v>200</v>
      </c>
      <c r="F733" s="11">
        <f>E733*C733</f>
        <v>20</v>
      </c>
      <c r="G733" s="121"/>
      <c r="H733" s="121"/>
      <c r="I733" s="121"/>
      <c r="J733" s="121"/>
    </row>
    <row r="734" spans="1:10" s="149" customFormat="1">
      <c r="A734" s="133"/>
      <c r="B734" s="15" t="s">
        <v>322</v>
      </c>
      <c r="C734" s="4"/>
      <c r="D734" s="138" t="s">
        <v>116</v>
      </c>
      <c r="E734" s="785">
        <f>SUM(F731:F733)</f>
        <v>268.39999999999998</v>
      </c>
      <c r="F734" s="785">
        <f>E734*7.5%</f>
        <v>20.13</v>
      </c>
      <c r="G734" s="121"/>
      <c r="H734" s="121"/>
      <c r="I734" s="121"/>
      <c r="J734" s="121"/>
    </row>
    <row r="735" spans="1:10" s="149" customFormat="1">
      <c r="A735" s="133"/>
      <c r="B735" s="15" t="s">
        <v>323</v>
      </c>
      <c r="C735" s="4"/>
      <c r="D735" s="138" t="s">
        <v>116</v>
      </c>
      <c r="E735" s="785">
        <f>SUM(F731:F733)</f>
        <v>268.39999999999998</v>
      </c>
      <c r="F735" s="785">
        <f>E735*7.5%</f>
        <v>20.13</v>
      </c>
      <c r="G735" s="121"/>
      <c r="H735" s="121"/>
      <c r="I735" s="121"/>
      <c r="J735" s="121"/>
    </row>
    <row r="736" spans="1:10" s="149" customFormat="1">
      <c r="A736" s="133"/>
      <c r="B736" s="441" t="s">
        <v>117</v>
      </c>
      <c r="C736" s="8"/>
      <c r="D736" s="8"/>
      <c r="E736" s="8"/>
      <c r="F736" s="11">
        <f>SUM(F731:F735)</f>
        <v>308.65999999999997</v>
      </c>
      <c r="G736" s="121"/>
      <c r="H736" s="121"/>
      <c r="I736" s="121"/>
      <c r="J736" s="121"/>
    </row>
    <row r="737" spans="1:10" s="149" customFormat="1">
      <c r="A737" s="133"/>
      <c r="B737" s="441" t="s">
        <v>8</v>
      </c>
      <c r="C737" s="8">
        <v>1.25</v>
      </c>
      <c r="D737" s="8" t="s">
        <v>9</v>
      </c>
      <c r="E737" s="11">
        <v>237</v>
      </c>
      <c r="F737" s="11">
        <f>E737*C737</f>
        <v>296.25</v>
      </c>
      <c r="G737" s="121"/>
      <c r="H737" s="121"/>
      <c r="I737" s="121"/>
      <c r="J737" s="121"/>
    </row>
    <row r="738" spans="1:10" s="149" customFormat="1">
      <c r="A738" s="133"/>
      <c r="B738" s="441" t="s">
        <v>117</v>
      </c>
      <c r="C738" s="8"/>
      <c r="D738" s="8"/>
      <c r="E738" s="8"/>
      <c r="F738" s="11">
        <f>SUM(F736:F737)</f>
        <v>604.91</v>
      </c>
      <c r="G738" s="121"/>
      <c r="H738" s="121"/>
      <c r="I738" s="121"/>
      <c r="J738" s="121"/>
    </row>
    <row r="739" spans="1:10" s="149" customFormat="1">
      <c r="A739" s="133"/>
      <c r="B739" s="441" t="s">
        <v>3</v>
      </c>
      <c r="C739" s="8"/>
      <c r="D739" s="8"/>
      <c r="E739" s="8"/>
      <c r="F739" s="11">
        <f>F738/10</f>
        <v>60.491</v>
      </c>
      <c r="G739" s="121"/>
      <c r="H739" s="121"/>
      <c r="I739" s="121"/>
      <c r="J739" s="121"/>
    </row>
    <row r="740" spans="1:10" s="149" customFormat="1">
      <c r="A740" s="133"/>
      <c r="B740" s="439" t="s">
        <v>10</v>
      </c>
      <c r="C740" s="8"/>
      <c r="D740" s="8"/>
      <c r="E740" s="8"/>
      <c r="F740" s="8"/>
      <c r="G740" s="121"/>
      <c r="H740" s="121"/>
      <c r="I740" s="121"/>
      <c r="J740" s="121"/>
    </row>
    <row r="741" spans="1:10" s="149" customFormat="1">
      <c r="A741" s="133"/>
      <c r="B741" s="441" t="s">
        <v>11</v>
      </c>
      <c r="C741" s="8"/>
      <c r="D741" s="8"/>
      <c r="E741" s="8"/>
      <c r="F741" s="8"/>
      <c r="G741" s="121"/>
      <c r="H741" s="121"/>
      <c r="I741" s="121"/>
      <c r="J741" s="121"/>
    </row>
    <row r="742" spans="1:10" s="149" customFormat="1">
      <c r="A742" s="133"/>
      <c r="B742" s="441" t="s">
        <v>6</v>
      </c>
      <c r="C742" s="8">
        <v>0.5</v>
      </c>
      <c r="D742" s="8" t="s">
        <v>114</v>
      </c>
      <c r="E742" s="11">
        <f>Lead!J66</f>
        <v>260</v>
      </c>
      <c r="F742" s="11">
        <f>E742*C742</f>
        <v>130</v>
      </c>
      <c r="G742" s="121"/>
      <c r="H742" s="121"/>
      <c r="I742" s="121"/>
      <c r="J742" s="121"/>
    </row>
    <row r="743" spans="1:10" s="149" customFormat="1">
      <c r="A743" s="133"/>
      <c r="B743" s="441" t="s">
        <v>27</v>
      </c>
      <c r="C743" s="8">
        <v>0.5</v>
      </c>
      <c r="D743" s="8" t="s">
        <v>114</v>
      </c>
      <c r="E743" s="801">
        <f>Lead!E47</f>
        <v>200</v>
      </c>
      <c r="F743" s="11">
        <f>E743*C743</f>
        <v>100</v>
      </c>
      <c r="G743" s="121"/>
      <c r="H743" s="121"/>
      <c r="I743" s="121"/>
      <c r="J743" s="121"/>
    </row>
    <row r="744" spans="1:10" s="149" customFormat="1">
      <c r="A744" s="133"/>
      <c r="B744" s="15" t="s">
        <v>322</v>
      </c>
      <c r="C744" s="4"/>
      <c r="D744" s="138" t="s">
        <v>116</v>
      </c>
      <c r="E744" s="785">
        <f>SUM(F742:F743)</f>
        <v>230</v>
      </c>
      <c r="F744" s="785">
        <f>E744*7.5%</f>
        <v>17.25</v>
      </c>
      <c r="G744" s="121"/>
      <c r="H744" s="121"/>
      <c r="I744" s="121"/>
      <c r="J744" s="121"/>
    </row>
    <row r="745" spans="1:10" s="149" customFormat="1">
      <c r="A745" s="133"/>
      <c r="B745" s="15" t="s">
        <v>322</v>
      </c>
      <c r="C745" s="4"/>
      <c r="D745" s="138" t="s">
        <v>116</v>
      </c>
      <c r="E745" s="785">
        <f>SUM(F742:F743)</f>
        <v>230</v>
      </c>
      <c r="F745" s="785">
        <f>E745*7.5%</f>
        <v>17.25</v>
      </c>
      <c r="G745" s="121"/>
      <c r="H745" s="121"/>
      <c r="I745" s="121"/>
      <c r="J745" s="121"/>
    </row>
    <row r="746" spans="1:10" s="149" customFormat="1">
      <c r="A746" s="133"/>
      <c r="B746" s="441" t="s">
        <v>117</v>
      </c>
      <c r="C746" s="8"/>
      <c r="D746" s="8"/>
      <c r="E746" s="8"/>
      <c r="F746" s="11">
        <f>SUM(F742:F745)</f>
        <v>264.5</v>
      </c>
      <c r="G746" s="121"/>
      <c r="H746" s="121"/>
      <c r="I746" s="121"/>
      <c r="J746" s="121"/>
    </row>
    <row r="747" spans="1:10" s="149" customFormat="1">
      <c r="A747" s="133"/>
      <c r="B747" s="441" t="s">
        <v>12</v>
      </c>
      <c r="C747" s="8">
        <v>0.78120000000000001</v>
      </c>
      <c r="D747" s="8" t="s">
        <v>9</v>
      </c>
      <c r="E747" s="11">
        <v>108</v>
      </c>
      <c r="F747" s="11">
        <f>E747*C747</f>
        <v>84.369600000000005</v>
      </c>
      <c r="G747" s="121"/>
      <c r="H747" s="121"/>
      <c r="I747" s="121"/>
      <c r="J747" s="121"/>
    </row>
    <row r="748" spans="1:10" s="149" customFormat="1">
      <c r="A748" s="133"/>
      <c r="B748" s="441" t="s">
        <v>117</v>
      </c>
      <c r="C748" s="8"/>
      <c r="D748" s="8"/>
      <c r="E748" s="8"/>
      <c r="F748" s="11">
        <f>SUM(F746:F747)</f>
        <v>348.86959999999999</v>
      </c>
      <c r="G748" s="121"/>
      <c r="H748" s="121"/>
      <c r="I748" s="121"/>
      <c r="J748" s="121"/>
    </row>
    <row r="749" spans="1:10" s="149" customFormat="1">
      <c r="A749" s="133"/>
      <c r="B749" s="441" t="s">
        <v>3</v>
      </c>
      <c r="C749" s="8"/>
      <c r="D749" s="8"/>
      <c r="E749" s="8"/>
      <c r="F749" s="11">
        <f>F748/9.3</f>
        <v>37.512860215053763</v>
      </c>
      <c r="G749" s="121"/>
      <c r="H749" s="121"/>
      <c r="I749" s="121"/>
      <c r="J749" s="121"/>
    </row>
    <row r="750" spans="1:10" s="149" customFormat="1">
      <c r="A750" s="133"/>
      <c r="B750" s="441" t="s">
        <v>13</v>
      </c>
      <c r="C750" s="8"/>
      <c r="D750" s="8"/>
      <c r="E750" s="8"/>
      <c r="F750" s="11">
        <f>F749+F739+F729</f>
        <v>152.51386021505377</v>
      </c>
      <c r="G750" s="121"/>
      <c r="H750" s="121"/>
      <c r="I750" s="121"/>
      <c r="J750" s="121"/>
    </row>
    <row r="751" spans="1:10" s="149" customFormat="1">
      <c r="A751" s="133"/>
      <c r="B751" s="13" t="s">
        <v>493</v>
      </c>
      <c r="C751" s="38"/>
      <c r="D751" s="38"/>
      <c r="E751" s="38"/>
      <c r="F751" s="802">
        <f>F750*0.01</f>
        <v>1.5251386021505378</v>
      </c>
      <c r="G751" s="121"/>
      <c r="H751" s="121"/>
      <c r="I751" s="121"/>
      <c r="J751" s="121"/>
    </row>
    <row r="752" spans="1:10" s="149" customFormat="1">
      <c r="A752" s="133"/>
      <c r="B752" s="13" t="s">
        <v>117</v>
      </c>
      <c r="C752" s="38"/>
      <c r="D752" s="38"/>
      <c r="E752" s="38"/>
      <c r="F752" s="802">
        <f>SUM(F750:F751)</f>
        <v>154.03899881720432</v>
      </c>
      <c r="G752" s="121"/>
      <c r="H752" s="121"/>
      <c r="I752" s="121"/>
      <c r="J752" s="121"/>
    </row>
    <row r="753" spans="1:12" s="149" customFormat="1">
      <c r="B753" s="28"/>
      <c r="C753" s="803"/>
      <c r="D753" s="803"/>
      <c r="E753" s="803" t="s">
        <v>120</v>
      </c>
      <c r="F753" s="804">
        <f>ROUND(F752,1)</f>
        <v>154</v>
      </c>
      <c r="G753" s="121"/>
      <c r="H753" s="121"/>
      <c r="I753" s="121"/>
      <c r="J753" s="121"/>
    </row>
    <row r="754" spans="1:12" s="149" customFormat="1">
      <c r="B754" s="64" t="s">
        <v>71</v>
      </c>
      <c r="C754" s="798"/>
      <c r="D754" s="798"/>
      <c r="E754" s="798"/>
      <c r="F754" s="798"/>
      <c r="G754" s="121"/>
      <c r="H754" s="121"/>
      <c r="I754" s="121"/>
      <c r="J754" s="121"/>
    </row>
    <row r="755" spans="1:12" s="149" customFormat="1">
      <c r="B755" s="19" t="s">
        <v>331</v>
      </c>
      <c r="C755" s="57"/>
      <c r="D755" s="57"/>
      <c r="E755" s="57"/>
      <c r="F755" s="57">
        <f>F752</f>
        <v>154.03899881720432</v>
      </c>
      <c r="G755" s="121"/>
      <c r="H755" s="121"/>
      <c r="I755" s="121"/>
      <c r="J755" s="121"/>
    </row>
    <row r="756" spans="1:12" s="149" customFormat="1">
      <c r="B756" s="62" t="s">
        <v>281</v>
      </c>
      <c r="C756" s="57"/>
      <c r="D756" s="4"/>
      <c r="E756" s="16">
        <f>((F731+F732+F733)+(F731+F732+F733)*0.15)/10+((F742+F743)+(F742+F743)*0.15)/9.3</f>
        <v>59.30686021505376</v>
      </c>
      <c r="F756" s="57">
        <f>E756*0.03</f>
        <v>1.7792058064516127</v>
      </c>
      <c r="G756" s="121"/>
      <c r="H756" s="121"/>
      <c r="I756" s="121"/>
      <c r="J756" s="121"/>
    </row>
    <row r="757" spans="1:12" s="149" customFormat="1">
      <c r="B757" s="63" t="s">
        <v>117</v>
      </c>
      <c r="C757" s="57"/>
      <c r="D757" s="57"/>
      <c r="E757" s="57"/>
      <c r="F757" s="57">
        <f>SUM(F755:F756)</f>
        <v>155.81820462365593</v>
      </c>
      <c r="G757" s="121"/>
      <c r="H757" s="121"/>
      <c r="I757" s="121"/>
      <c r="J757" s="121"/>
    </row>
    <row r="758" spans="1:12" s="149" customFormat="1">
      <c r="B758" s="45"/>
      <c r="C758" s="798"/>
      <c r="D758" s="798"/>
      <c r="E758" s="798" t="s">
        <v>120</v>
      </c>
      <c r="F758" s="798">
        <f>ROUND(F757,1)</f>
        <v>155.80000000000001</v>
      </c>
      <c r="G758" s="121"/>
      <c r="H758" s="121"/>
      <c r="I758" s="121"/>
      <c r="J758" s="121"/>
    </row>
    <row r="759" spans="1:12" s="149" customFormat="1">
      <c r="B759" s="19" t="s">
        <v>267</v>
      </c>
      <c r="C759" s="57"/>
      <c r="D759" s="57"/>
      <c r="E759" s="57"/>
      <c r="F759" s="57"/>
      <c r="G759" s="121"/>
      <c r="H759" s="121"/>
      <c r="I759" s="121"/>
      <c r="J759" s="121"/>
    </row>
    <row r="760" spans="1:12" s="149" customFormat="1">
      <c r="B760" s="19" t="s">
        <v>278</v>
      </c>
      <c r="C760" s="57"/>
      <c r="D760" s="57"/>
      <c r="E760" s="57"/>
      <c r="F760" s="57">
        <f>F757</f>
        <v>155.81820462365593</v>
      </c>
      <c r="G760" s="121"/>
      <c r="H760" s="121"/>
      <c r="I760" s="121"/>
      <c r="J760" s="121"/>
    </row>
    <row r="761" spans="1:12" s="149" customFormat="1">
      <c r="B761" s="62" t="s">
        <v>282</v>
      </c>
      <c r="C761" s="57"/>
      <c r="D761" s="57"/>
      <c r="E761" s="57">
        <f>E756+F756</f>
        <v>61.086066021505374</v>
      </c>
      <c r="F761" s="57">
        <f>E761*0.03</f>
        <v>1.8325819806451611</v>
      </c>
      <c r="G761" s="121"/>
      <c r="H761" s="121"/>
      <c r="I761" s="121"/>
      <c r="J761" s="121"/>
    </row>
    <row r="762" spans="1:12" s="149" customFormat="1">
      <c r="B762" s="63" t="s">
        <v>117</v>
      </c>
      <c r="C762" s="57"/>
      <c r="D762" s="57"/>
      <c r="E762" s="57"/>
      <c r="F762" s="57">
        <f>SUM(F760:F761)</f>
        <v>157.65078660430109</v>
      </c>
      <c r="G762" s="121"/>
      <c r="H762" s="121"/>
      <c r="I762" s="121"/>
      <c r="J762" s="121"/>
    </row>
    <row r="763" spans="1:12" s="149" customFormat="1">
      <c r="B763"/>
      <c r="C763" s="1"/>
      <c r="D763" s="1"/>
      <c r="E763" s="798" t="s">
        <v>120</v>
      </c>
      <c r="F763" s="798">
        <f>ROUND(F762,1)</f>
        <v>157.69999999999999</v>
      </c>
      <c r="G763" s="121"/>
      <c r="H763" s="121"/>
      <c r="I763" s="121"/>
      <c r="J763" s="121"/>
    </row>
    <row r="764" spans="1:12" s="149" customFormat="1">
      <c r="B764" s="45"/>
      <c r="C764" s="787"/>
      <c r="D764" s="787"/>
      <c r="E764" s="787"/>
      <c r="F764" s="777"/>
      <c r="G764" s="121"/>
      <c r="H764" s="121"/>
      <c r="I764" s="121"/>
      <c r="J764" s="121"/>
    </row>
    <row r="765" spans="1:12" s="149" customFormat="1" ht="63.75">
      <c r="A765" s="133">
        <v>25</v>
      </c>
      <c r="B765" s="387" t="s">
        <v>531</v>
      </c>
      <c r="C765" s="805"/>
      <c r="D765" s="805"/>
      <c r="E765" s="805"/>
      <c r="F765" s="467"/>
      <c r="G765" s="467"/>
      <c r="H765" s="467"/>
      <c r="I765" s="388"/>
      <c r="J765" s="389"/>
      <c r="K765" s="388"/>
      <c r="L765" s="388"/>
    </row>
    <row r="766" spans="1:12" s="149" customFormat="1">
      <c r="B766" s="388"/>
      <c r="C766" s="467"/>
      <c r="D766" s="467"/>
      <c r="E766" s="467"/>
      <c r="F766" s="467"/>
      <c r="G766" s="467"/>
      <c r="H766" s="467"/>
      <c r="I766" s="388"/>
      <c r="J766" s="389"/>
      <c r="K766" s="388"/>
      <c r="L766" s="388"/>
    </row>
    <row r="767" spans="1:12" s="149" customFormat="1">
      <c r="B767" s="390" t="s">
        <v>532</v>
      </c>
      <c r="C767" s="467"/>
      <c r="D767" s="467"/>
      <c r="E767" s="467"/>
      <c r="F767" s="467"/>
      <c r="G767" s="467"/>
      <c r="H767" s="467"/>
      <c r="I767" s="388"/>
      <c r="J767" s="389"/>
      <c r="K767" s="388"/>
      <c r="L767" s="388"/>
    </row>
    <row r="768" spans="1:12" s="149" customFormat="1">
      <c r="B768" s="127" t="s">
        <v>431</v>
      </c>
      <c r="C768" s="806"/>
      <c r="D768" s="806"/>
      <c r="E768" s="806"/>
      <c r="F768" s="806"/>
      <c r="G768" s="806"/>
      <c r="H768" s="806"/>
      <c r="I768" s="391"/>
      <c r="J768" s="392"/>
      <c r="K768" s="393"/>
      <c r="L768" s="388"/>
    </row>
    <row r="769" spans="1:11" s="149" customFormat="1">
      <c r="B769" s="187" t="s">
        <v>533</v>
      </c>
      <c r="C769" s="468">
        <v>0.98</v>
      </c>
      <c r="D769" s="776" t="s">
        <v>388</v>
      </c>
      <c r="E769" s="468">
        <v>12.1</v>
      </c>
      <c r="F769" s="807">
        <f>E769*C769</f>
        <v>11.857999999999999</v>
      </c>
      <c r="G769" s="467"/>
      <c r="H769" s="121"/>
      <c r="I769" s="389"/>
      <c r="J769" s="121"/>
    </row>
    <row r="770" spans="1:11" s="149" customFormat="1">
      <c r="B770" s="127" t="s">
        <v>534</v>
      </c>
      <c r="C770" s="808"/>
      <c r="D770" s="809"/>
      <c r="E770" s="807"/>
      <c r="F770" s="807"/>
      <c r="G770" s="467"/>
      <c r="H770" s="121"/>
      <c r="I770" s="394"/>
      <c r="J770" s="121"/>
    </row>
    <row r="771" spans="1:11" s="149" customFormat="1">
      <c r="B771" s="188" t="s">
        <v>535</v>
      </c>
      <c r="C771" s="807"/>
      <c r="D771" s="809"/>
      <c r="E771" s="807"/>
      <c r="F771" s="807"/>
      <c r="G771" s="467"/>
      <c r="H771" s="121"/>
      <c r="I771" s="394"/>
      <c r="J771" s="121"/>
    </row>
    <row r="772" spans="1:11" s="149" customFormat="1">
      <c r="B772" s="395" t="s">
        <v>536</v>
      </c>
      <c r="C772" s="467">
        <v>21.08</v>
      </c>
      <c r="D772" s="776" t="s">
        <v>537</v>
      </c>
      <c r="E772" s="468">
        <v>69.8</v>
      </c>
      <c r="F772" s="810">
        <f>E772*C772</f>
        <v>1471.3839999999998</v>
      </c>
      <c r="G772" s="467"/>
      <c r="H772" s="121"/>
      <c r="I772" s="389"/>
      <c r="J772" s="121"/>
    </row>
    <row r="773" spans="1:11" s="149" customFormat="1">
      <c r="B773" s="396" t="s">
        <v>538</v>
      </c>
      <c r="C773" s="467"/>
      <c r="D773" s="467"/>
      <c r="E773" s="467"/>
      <c r="F773" s="468">
        <f>F769+F772</f>
        <v>1483.2419999999997</v>
      </c>
      <c r="G773" s="776" t="s">
        <v>539</v>
      </c>
      <c r="H773" s="121"/>
      <c r="I773" s="389"/>
      <c r="J773" s="121"/>
    </row>
    <row r="774" spans="1:11" s="149" customFormat="1">
      <c r="B774" s="397" t="s">
        <v>540</v>
      </c>
      <c r="C774" s="467"/>
      <c r="D774" s="467"/>
      <c r="E774" s="468"/>
      <c r="F774" s="468">
        <f>F773/21.08</f>
        <v>70.362523719165083</v>
      </c>
      <c r="G774" s="776" t="s">
        <v>541</v>
      </c>
      <c r="H774" s="121"/>
      <c r="I774" s="389"/>
      <c r="J774" s="121"/>
    </row>
    <row r="775" spans="1:11" s="149" customFormat="1">
      <c r="B775" s="398" t="s">
        <v>515</v>
      </c>
      <c r="C775" s="771"/>
      <c r="D775" s="771"/>
      <c r="E775" s="771"/>
      <c r="F775" s="777">
        <f>F774*1%</f>
        <v>0.70362523719165082</v>
      </c>
      <c r="G775" s="811"/>
      <c r="H775" s="121"/>
      <c r="I775" s="399"/>
      <c r="J775" s="121"/>
    </row>
    <row r="776" spans="1:11" s="149" customFormat="1">
      <c r="B776" s="400"/>
      <c r="C776" s="771"/>
      <c r="D776" s="771"/>
      <c r="E776" s="375"/>
      <c r="F776" s="812">
        <f>SUM(F774:F775)</f>
        <v>71.066148956356727</v>
      </c>
      <c r="G776" s="776" t="s">
        <v>541</v>
      </c>
      <c r="H776" s="121"/>
      <c r="I776" s="399"/>
      <c r="J776" s="121"/>
    </row>
    <row r="777" spans="1:11" s="149" customFormat="1">
      <c r="B777" s="397"/>
      <c r="C777" s="467"/>
      <c r="D777" s="467"/>
      <c r="E777" s="813" t="s">
        <v>542</v>
      </c>
      <c r="F777" s="814">
        <f>ROUND(F776,1)</f>
        <v>71.099999999999994</v>
      </c>
      <c r="G777" s="776" t="s">
        <v>541</v>
      </c>
      <c r="H777" s="121"/>
      <c r="I777" s="399"/>
      <c r="J777" s="121"/>
    </row>
    <row r="778" spans="1:11" s="149" customFormat="1">
      <c r="C778" s="121"/>
      <c r="D778" s="121"/>
      <c r="E778" s="121"/>
      <c r="F778" s="165"/>
      <c r="G778" s="121"/>
      <c r="H778" s="121"/>
      <c r="I778" s="121"/>
      <c r="J778" s="121"/>
    </row>
    <row r="779" spans="1:11" s="149" customFormat="1">
      <c r="C779" s="121"/>
      <c r="D779" s="121"/>
      <c r="E779" s="121"/>
      <c r="F779" s="121"/>
      <c r="G779" s="121"/>
      <c r="H779" s="121"/>
      <c r="I779" s="121"/>
      <c r="J779" s="121"/>
    </row>
    <row r="780" spans="1:11" s="149" customFormat="1" ht="114.75">
      <c r="A780" s="133">
        <v>26</v>
      </c>
      <c r="B780" s="129" t="s">
        <v>462</v>
      </c>
      <c r="C780" s="121"/>
      <c r="D780" s="121"/>
      <c r="E780" s="121"/>
      <c r="F780" s="121"/>
      <c r="G780" s="121"/>
      <c r="H780" s="121"/>
      <c r="I780" s="121"/>
      <c r="J780" s="121"/>
    </row>
    <row r="781" spans="1:11" s="149" customFormat="1">
      <c r="B781" s="149" t="s">
        <v>545</v>
      </c>
      <c r="C781" s="1243" t="s">
        <v>546</v>
      </c>
      <c r="D781" s="1243"/>
      <c r="E781" s="121"/>
      <c r="F781" s="121"/>
      <c r="G781" s="121">
        <f>C783+C784+C785</f>
        <v>34.159999999999997</v>
      </c>
      <c r="H781" s="121"/>
      <c r="I781" s="121"/>
      <c r="J781" s="121"/>
    </row>
    <row r="782" spans="1:11" s="149" customFormat="1">
      <c r="B782" s="149" t="s">
        <v>502</v>
      </c>
      <c r="C782" s="401"/>
      <c r="D782" s="121"/>
      <c r="E782" s="121"/>
      <c r="F782" s="120"/>
      <c r="G782" s="121"/>
      <c r="H782" s="121"/>
      <c r="I782" s="121"/>
      <c r="J782" s="121"/>
      <c r="K782" s="402"/>
    </row>
    <row r="783" spans="1:11" s="149" customFormat="1" ht="25.5">
      <c r="B783" s="443" t="s">
        <v>547</v>
      </c>
      <c r="C783" s="121">
        <v>11.41</v>
      </c>
      <c r="D783" s="121" t="s">
        <v>18</v>
      </c>
      <c r="E783" s="120">
        <v>240.24</v>
      </c>
      <c r="F783" s="120">
        <f>E783*C783</f>
        <v>2741.1384000000003</v>
      </c>
      <c r="G783" s="121"/>
      <c r="H783" s="121"/>
      <c r="I783" s="121"/>
      <c r="J783" s="121"/>
    </row>
    <row r="784" spans="1:11" s="149" customFormat="1" ht="27" customHeight="1">
      <c r="B784" s="443" t="s">
        <v>548</v>
      </c>
      <c r="C784" s="121">
        <v>6.12</v>
      </c>
      <c r="D784" s="121" t="s">
        <v>18</v>
      </c>
      <c r="E784" s="120">
        <v>256.62</v>
      </c>
      <c r="F784" s="120">
        <f>E784*C784</f>
        <v>1570.5144</v>
      </c>
      <c r="G784" s="121"/>
      <c r="H784" s="121"/>
      <c r="I784" s="121"/>
      <c r="J784" s="121"/>
    </row>
    <row r="785" spans="1:10" s="149" customFormat="1" ht="38.25">
      <c r="B785" s="443" t="s">
        <v>549</v>
      </c>
      <c r="C785" s="121">
        <v>16.63</v>
      </c>
      <c r="D785" s="121" t="s">
        <v>18</v>
      </c>
      <c r="E785" s="120">
        <v>256.62</v>
      </c>
      <c r="F785" s="120">
        <f>E785*C785</f>
        <v>4267.5905999999995</v>
      </c>
      <c r="G785" s="121"/>
      <c r="H785" s="121"/>
      <c r="I785" s="121"/>
      <c r="J785" s="121"/>
    </row>
    <row r="786" spans="1:10" s="149" customFormat="1">
      <c r="C786" s="121"/>
      <c r="D786" s="121"/>
      <c r="E786" s="120"/>
      <c r="F786" s="120"/>
      <c r="G786" s="121"/>
      <c r="H786" s="121"/>
      <c r="I786" s="121"/>
      <c r="J786" s="121"/>
    </row>
    <row r="787" spans="1:10" s="149" customFormat="1">
      <c r="B787" s="149" t="s">
        <v>550</v>
      </c>
      <c r="C787" s="121"/>
      <c r="D787" s="121"/>
      <c r="E787" s="121"/>
      <c r="F787" s="120"/>
      <c r="G787" s="121"/>
      <c r="H787" s="121"/>
      <c r="I787" s="121"/>
      <c r="J787" s="121"/>
    </row>
    <row r="788" spans="1:10" s="149" customFormat="1">
      <c r="B788" s="149" t="s">
        <v>551</v>
      </c>
      <c r="C788" s="121">
        <v>34.159999999999997</v>
      </c>
      <c r="D788" s="121" t="s">
        <v>18</v>
      </c>
      <c r="E788" s="120">
        <v>10</v>
      </c>
      <c r="F788" s="120">
        <f>E788*C788</f>
        <v>341.59999999999997</v>
      </c>
      <c r="G788" s="121"/>
      <c r="H788" s="121"/>
      <c r="I788" s="121"/>
      <c r="J788" s="121"/>
    </row>
    <row r="789" spans="1:10" s="149" customFormat="1">
      <c r="C789" s="121"/>
      <c r="D789" s="121"/>
      <c r="E789" s="120"/>
      <c r="F789" s="120"/>
      <c r="G789" s="121"/>
      <c r="H789" s="121"/>
      <c r="I789" s="121"/>
      <c r="J789" s="121"/>
    </row>
    <row r="790" spans="1:10" s="149" customFormat="1">
      <c r="B790" s="149" t="s">
        <v>505</v>
      </c>
      <c r="C790" s="121"/>
      <c r="D790" s="121"/>
      <c r="E790" s="121"/>
      <c r="F790" s="121"/>
      <c r="G790" s="121"/>
      <c r="H790" s="121"/>
      <c r="I790" s="121"/>
      <c r="J790" s="121"/>
    </row>
    <row r="791" spans="1:10" s="149" customFormat="1">
      <c r="B791" s="149" t="s">
        <v>552</v>
      </c>
      <c r="C791" s="120">
        <v>0.89</v>
      </c>
      <c r="D791" s="121" t="s">
        <v>506</v>
      </c>
      <c r="E791" s="120">
        <f>Lead!E64</f>
        <v>260</v>
      </c>
      <c r="F791" s="120">
        <f>E791*C791</f>
        <v>231.4</v>
      </c>
      <c r="G791" s="121"/>
      <c r="H791" s="121"/>
      <c r="I791" s="121"/>
      <c r="J791" s="121"/>
    </row>
    <row r="792" spans="1:10" s="149" customFormat="1">
      <c r="B792" s="149" t="s">
        <v>553</v>
      </c>
      <c r="C792" s="120">
        <v>0.89</v>
      </c>
      <c r="D792" s="121" t="s">
        <v>506</v>
      </c>
      <c r="E792" s="120">
        <f>Lead!E54</f>
        <v>220</v>
      </c>
      <c r="F792" s="120">
        <f>E792*C792</f>
        <v>195.8</v>
      </c>
      <c r="G792" s="121"/>
      <c r="H792" s="121"/>
      <c r="I792" s="121"/>
      <c r="J792" s="121"/>
    </row>
    <row r="793" spans="1:10" s="149" customFormat="1">
      <c r="C793" s="120"/>
      <c r="D793" s="121"/>
      <c r="E793" s="120"/>
      <c r="F793" s="378">
        <f>SUM(F783:F792)</f>
        <v>9348.0433999999987</v>
      </c>
      <c r="G793" s="121"/>
      <c r="H793" s="121"/>
      <c r="I793" s="121"/>
      <c r="J793" s="121"/>
    </row>
    <row r="794" spans="1:10" s="149" customFormat="1">
      <c r="B794" s="149" t="s">
        <v>512</v>
      </c>
      <c r="C794" s="121"/>
      <c r="D794" s="121"/>
      <c r="E794" s="121"/>
      <c r="F794" s="120">
        <f>F793*7.5%</f>
        <v>701.10325499999988</v>
      </c>
      <c r="G794" s="121"/>
      <c r="H794" s="121"/>
      <c r="I794" s="121"/>
      <c r="J794" s="121"/>
    </row>
    <row r="795" spans="1:10" s="149" customFormat="1">
      <c r="B795" s="149" t="s">
        <v>498</v>
      </c>
      <c r="C795" s="121"/>
      <c r="D795" s="121"/>
      <c r="E795" s="121"/>
      <c r="F795" s="120">
        <f>F793*7.5%</f>
        <v>701.10325499999988</v>
      </c>
      <c r="G795" s="121"/>
      <c r="H795" s="121"/>
      <c r="I795" s="121"/>
      <c r="J795" s="121"/>
    </row>
    <row r="796" spans="1:10" s="149" customFormat="1">
      <c r="C796" s="121"/>
      <c r="D796" s="121"/>
      <c r="E796" s="120"/>
      <c r="F796" s="120">
        <v>10840.1050082</v>
      </c>
      <c r="G796" s="4" t="s">
        <v>1212</v>
      </c>
      <c r="H796" s="121"/>
      <c r="I796" s="121"/>
      <c r="J796" s="121"/>
    </row>
    <row r="797" spans="1:10" s="149" customFormat="1">
      <c r="B797" s="20" t="s">
        <v>1211</v>
      </c>
      <c r="C797" s="121"/>
      <c r="D797" s="120"/>
      <c r="E797" s="4"/>
      <c r="F797" s="120">
        <f>F796/3.26</f>
        <v>3325.1855853374236</v>
      </c>
      <c r="G797" s="4" t="s">
        <v>1059</v>
      </c>
      <c r="H797" s="121"/>
      <c r="I797" s="121"/>
      <c r="J797" s="121"/>
    </row>
    <row r="798" spans="1:10" s="149" customFormat="1">
      <c r="B798" s="149" t="s">
        <v>515</v>
      </c>
      <c r="C798" s="121"/>
      <c r="D798" s="121"/>
      <c r="E798" s="121"/>
      <c r="F798" s="120">
        <f>F797*1%</f>
        <v>33.251855853374238</v>
      </c>
      <c r="G798" s="121"/>
      <c r="H798" s="121"/>
      <c r="I798" s="121"/>
      <c r="J798" s="121"/>
    </row>
    <row r="799" spans="1:10" s="149" customFormat="1">
      <c r="A799" s="5"/>
      <c r="B799" s="45"/>
      <c r="C799" s="777"/>
      <c r="D799" s="777"/>
      <c r="E799" s="777"/>
      <c r="F799" s="777">
        <f>SUM(F797:F798)</f>
        <v>3358.4374411907979</v>
      </c>
      <c r="G799" s="4" t="s">
        <v>1059</v>
      </c>
      <c r="H799" s="121"/>
      <c r="I799" s="121"/>
      <c r="J799" s="121"/>
    </row>
    <row r="800" spans="1:10" s="149" customFormat="1">
      <c r="A800" s="5"/>
      <c r="B800" s="45"/>
      <c r="C800" s="777"/>
      <c r="D800" s="777"/>
      <c r="E800" s="777"/>
      <c r="F800" s="777">
        <f>ROUND(F799,0)</f>
        <v>3358</v>
      </c>
      <c r="G800" s="4" t="s">
        <v>434</v>
      </c>
      <c r="H800" s="121"/>
      <c r="I800" s="121"/>
      <c r="J800" s="121"/>
    </row>
    <row r="801" spans="1:10" s="149" customFormat="1" ht="14.25" customHeight="1">
      <c r="A801" s="5"/>
      <c r="B801" s="45"/>
      <c r="C801" s="787"/>
      <c r="D801" s="787"/>
      <c r="E801" s="787"/>
      <c r="F801" s="777"/>
      <c r="G801" s="121"/>
      <c r="H801" s="121"/>
      <c r="I801" s="121"/>
      <c r="J801" s="121"/>
    </row>
    <row r="802" spans="1:10" s="20" customFormat="1">
      <c r="A802" s="5" t="s">
        <v>38</v>
      </c>
      <c r="B802" s="64" t="s">
        <v>71</v>
      </c>
      <c r="C802" s="798"/>
      <c r="D802" s="798"/>
      <c r="E802" s="798"/>
      <c r="F802" s="798"/>
      <c r="G802" s="4"/>
      <c r="H802" s="4"/>
    </row>
    <row r="803" spans="1:10" s="20" customFormat="1">
      <c r="A803" s="5"/>
      <c r="B803" s="19" t="s">
        <v>333</v>
      </c>
      <c r="C803" s="57"/>
      <c r="D803" s="57"/>
      <c r="E803" s="57"/>
      <c r="F803" s="57">
        <f>F799</f>
        <v>3358.4374411907979</v>
      </c>
      <c r="G803" s="4"/>
      <c r="H803" s="4"/>
    </row>
    <row r="804" spans="1:10" s="20" customFormat="1">
      <c r="A804" s="5"/>
      <c r="B804" s="62" t="s">
        <v>280</v>
      </c>
      <c r="C804" s="57"/>
      <c r="D804" s="4"/>
      <c r="E804" s="57">
        <f>((F791+F792)+(F791+F792)*0.15)/10</f>
        <v>49.128</v>
      </c>
      <c r="F804" s="57">
        <f>E804*0.05</f>
        <v>2.4564000000000004</v>
      </c>
      <c r="G804" s="4"/>
      <c r="H804" s="4"/>
    </row>
    <row r="805" spans="1:10" s="20" customFormat="1">
      <c r="A805" s="5"/>
      <c r="B805" s="19" t="s">
        <v>117</v>
      </c>
      <c r="C805" s="57"/>
      <c r="D805" s="57"/>
      <c r="E805" s="57"/>
      <c r="F805" s="403">
        <f>SUM(F803:F804)</f>
        <v>3360.893841190798</v>
      </c>
      <c r="G805" s="4"/>
      <c r="H805" s="4"/>
    </row>
    <row r="806" spans="1:10" s="20" customFormat="1">
      <c r="A806" s="5"/>
      <c r="B806" s="45"/>
      <c r="C806" s="798"/>
      <c r="D806" s="798"/>
      <c r="E806" s="798" t="s">
        <v>120</v>
      </c>
      <c r="F806" s="798">
        <f>ROUND(F805,1)</f>
        <v>3360.9</v>
      </c>
      <c r="G806" s="4"/>
      <c r="H806" s="4"/>
    </row>
    <row r="807" spans="1:10" s="20" customFormat="1">
      <c r="A807" s="4" t="s">
        <v>39</v>
      </c>
      <c r="B807" s="19" t="s">
        <v>267</v>
      </c>
      <c r="C807" s="16"/>
      <c r="D807" s="16"/>
      <c r="E807" s="16"/>
      <c r="F807" s="16"/>
      <c r="G807" s="4"/>
      <c r="H807" s="4"/>
    </row>
    <row r="808" spans="1:10" s="20" customFormat="1">
      <c r="A808" s="4"/>
      <c r="B808" s="19" t="s">
        <v>278</v>
      </c>
      <c r="C808" s="16"/>
      <c r="D808" s="16"/>
      <c r="E808" s="16"/>
      <c r="F808" s="16">
        <f>F805</f>
        <v>3360.893841190798</v>
      </c>
      <c r="G808" s="4"/>
      <c r="H808" s="4"/>
    </row>
    <row r="809" spans="1:10" s="20" customFormat="1">
      <c r="A809" s="4"/>
      <c r="B809" s="62" t="s">
        <v>282</v>
      </c>
      <c r="C809" s="16"/>
      <c r="D809" s="16"/>
      <c r="E809" s="16">
        <f>E804+F804</f>
        <v>51.584400000000002</v>
      </c>
      <c r="F809" s="16">
        <f>E809*0.03</f>
        <v>1.5475319999999999</v>
      </c>
      <c r="G809" s="4"/>
      <c r="H809" s="4"/>
    </row>
    <row r="810" spans="1:10" s="20" customFormat="1">
      <c r="A810" s="4"/>
      <c r="B810" s="63" t="s">
        <v>117</v>
      </c>
      <c r="C810" s="16"/>
      <c r="D810" s="16"/>
      <c r="E810" s="16"/>
      <c r="F810" s="16">
        <f>SUM(F808:F809)</f>
        <v>3362.441373190798</v>
      </c>
      <c r="G810" s="4"/>
      <c r="H810" s="4"/>
    </row>
    <row r="811" spans="1:10" s="20" customFormat="1">
      <c r="A811" s="4"/>
      <c r="B811" s="45"/>
      <c r="C811" s="777"/>
      <c r="D811" s="777"/>
      <c r="E811" s="777" t="s">
        <v>120</v>
      </c>
      <c r="F811" s="777">
        <f>ROUND(F810,1)</f>
        <v>3362.4</v>
      </c>
      <c r="G811" s="16"/>
      <c r="H811" s="4"/>
    </row>
    <row r="812" spans="1:10" s="149" customFormat="1">
      <c r="C812" s="121"/>
      <c r="D812" s="121"/>
      <c r="E812" s="121"/>
      <c r="F812" s="121"/>
      <c r="G812" s="121"/>
      <c r="H812" s="121"/>
      <c r="I812" s="121"/>
      <c r="J812" s="121"/>
    </row>
    <row r="813" spans="1:10" s="149" customFormat="1">
      <c r="C813" s="121"/>
      <c r="D813" s="121"/>
      <c r="E813" s="121"/>
      <c r="F813" s="121"/>
      <c r="G813" s="121"/>
      <c r="H813" s="121"/>
      <c r="I813" s="121"/>
      <c r="J813" s="121"/>
    </row>
    <row r="814" spans="1:10" s="149" customFormat="1" ht="127.5">
      <c r="A814" s="133">
        <v>27</v>
      </c>
      <c r="B814" s="380" t="s">
        <v>652</v>
      </c>
      <c r="C814" s="121"/>
      <c r="D814" s="121"/>
      <c r="E814" s="121"/>
      <c r="F814" s="121"/>
      <c r="G814" s="121"/>
      <c r="H814" s="121"/>
      <c r="I814" s="121"/>
      <c r="J814" s="121"/>
    </row>
    <row r="815" spans="1:10" s="149" customFormat="1">
      <c r="B815" s="149" t="s">
        <v>653</v>
      </c>
      <c r="C815" s="120"/>
      <c r="D815" s="121"/>
      <c r="E815" s="404"/>
      <c r="F815" s="404"/>
      <c r="G815" s="121"/>
      <c r="H815" s="121"/>
      <c r="I815" s="121"/>
      <c r="J815" s="121"/>
    </row>
    <row r="816" spans="1:10" s="149" customFormat="1">
      <c r="B816" s="44" t="s">
        <v>654</v>
      </c>
      <c r="C816" s="120">
        <v>11</v>
      </c>
      <c r="D816" s="4" t="s">
        <v>32</v>
      </c>
      <c r="E816" s="404">
        <v>640</v>
      </c>
      <c r="F816" s="404">
        <f>E816*C816</f>
        <v>7040</v>
      </c>
      <c r="G816" s="121"/>
      <c r="H816" s="121"/>
      <c r="I816" s="121"/>
      <c r="J816" s="404"/>
    </row>
    <row r="817" spans="2:10" s="149" customFormat="1">
      <c r="B817" s="149" t="s">
        <v>162</v>
      </c>
      <c r="C817" s="120">
        <v>0.5</v>
      </c>
      <c r="D817" s="4" t="s">
        <v>25</v>
      </c>
      <c r="E817" s="404">
        <f>Lead!E20</f>
        <v>55</v>
      </c>
      <c r="F817" s="121">
        <f>E817*C817</f>
        <v>27.5</v>
      </c>
      <c r="G817" s="121"/>
      <c r="H817" s="121"/>
      <c r="I817" s="121"/>
      <c r="J817" s="404"/>
    </row>
    <row r="818" spans="2:10" s="149" customFormat="1">
      <c r="B818" s="149" t="s">
        <v>655</v>
      </c>
      <c r="C818" s="120">
        <v>1</v>
      </c>
      <c r="D818" s="4" t="s">
        <v>174</v>
      </c>
      <c r="E818" s="404">
        <v>106</v>
      </c>
      <c r="F818" s="121">
        <f>E818*C818</f>
        <v>106</v>
      </c>
      <c r="G818" s="121"/>
      <c r="H818" s="121"/>
      <c r="I818" s="121"/>
      <c r="J818" s="404"/>
    </row>
    <row r="819" spans="2:10" s="149" customFormat="1">
      <c r="B819" s="149" t="s">
        <v>152</v>
      </c>
      <c r="C819" s="120"/>
      <c r="D819" s="121"/>
      <c r="E819" s="121"/>
      <c r="F819" s="404"/>
      <c r="G819" s="121"/>
      <c r="H819" s="121"/>
      <c r="I819" s="121"/>
      <c r="J819" s="404"/>
    </row>
    <row r="820" spans="2:10" s="149" customFormat="1">
      <c r="B820" s="149" t="s">
        <v>155</v>
      </c>
      <c r="C820" s="120">
        <v>1.5</v>
      </c>
      <c r="D820" s="4" t="s">
        <v>64</v>
      </c>
      <c r="E820" s="120">
        <f>Lead!E64</f>
        <v>260</v>
      </c>
      <c r="F820" s="404">
        <f>E820*C820</f>
        <v>390</v>
      </c>
      <c r="G820" s="121"/>
      <c r="H820" s="121"/>
      <c r="I820" s="121"/>
      <c r="J820" s="404"/>
    </row>
    <row r="821" spans="2:10" s="149" customFormat="1">
      <c r="B821" s="149" t="s">
        <v>113</v>
      </c>
      <c r="C821" s="120">
        <v>2</v>
      </c>
      <c r="D821" s="4" t="s">
        <v>64</v>
      </c>
      <c r="E821" s="120">
        <f>Lead!E47</f>
        <v>200</v>
      </c>
      <c r="F821" s="405">
        <f>E821*C821</f>
        <v>400</v>
      </c>
      <c r="G821" s="121"/>
      <c r="H821" s="121"/>
      <c r="I821" s="121"/>
      <c r="J821" s="404"/>
    </row>
    <row r="822" spans="2:10" s="149" customFormat="1">
      <c r="C822" s="120"/>
      <c r="D822" s="4"/>
      <c r="E822" s="120"/>
      <c r="F822" s="404">
        <f>SUM(F816:F821)</f>
        <v>7963.5</v>
      </c>
      <c r="G822" s="121"/>
      <c r="H822" s="121"/>
      <c r="I822" s="121"/>
      <c r="J822" s="404"/>
    </row>
    <row r="823" spans="2:10" s="149" customFormat="1">
      <c r="B823" s="20" t="s">
        <v>658</v>
      </c>
      <c r="C823" s="120"/>
      <c r="D823" s="121"/>
      <c r="E823" s="121"/>
      <c r="F823" s="405">
        <f>F822*15%</f>
        <v>1194.5249999999999</v>
      </c>
      <c r="G823" s="121"/>
      <c r="H823" s="121"/>
      <c r="I823" s="121"/>
      <c r="J823" s="404"/>
    </row>
    <row r="824" spans="2:10" s="149" customFormat="1">
      <c r="B824" s="20"/>
      <c r="C824" s="120"/>
      <c r="D824" s="121"/>
      <c r="E824" s="121"/>
      <c r="F824" s="404">
        <f>F822+F823</f>
        <v>9158.0249999999996</v>
      </c>
      <c r="G824" s="121"/>
      <c r="H824" s="121"/>
      <c r="I824" s="121"/>
      <c r="J824" s="404"/>
    </row>
    <row r="825" spans="2:10" s="149" customFormat="1">
      <c r="B825" s="149" t="s">
        <v>124</v>
      </c>
      <c r="C825" s="120"/>
      <c r="D825" s="121"/>
      <c r="E825" s="121"/>
      <c r="F825" s="404"/>
      <c r="G825" s="121"/>
      <c r="H825" s="121"/>
      <c r="I825" s="121"/>
      <c r="J825" s="404"/>
    </row>
    <row r="826" spans="2:10" s="149" customFormat="1" ht="25.5">
      <c r="B826" s="44" t="s">
        <v>657</v>
      </c>
      <c r="C826" s="120"/>
      <c r="D826" s="4"/>
      <c r="E826" s="121"/>
      <c r="F826" s="404">
        <v>493.85</v>
      </c>
      <c r="G826" s="121"/>
      <c r="H826" s="121"/>
      <c r="I826" s="121"/>
      <c r="J826" s="404"/>
    </row>
    <row r="827" spans="2:10" s="149" customFormat="1">
      <c r="B827" s="149" t="s">
        <v>151</v>
      </c>
      <c r="C827" s="120">
        <v>0.5</v>
      </c>
      <c r="D827" s="4" t="s">
        <v>25</v>
      </c>
      <c r="E827" s="121">
        <f>Lead!J20</f>
        <v>196.4</v>
      </c>
      <c r="F827" s="405">
        <f>E827*C827</f>
        <v>98.2</v>
      </c>
      <c r="G827" s="121"/>
      <c r="H827" s="121"/>
      <c r="I827" s="121"/>
      <c r="J827" s="404"/>
    </row>
    <row r="828" spans="2:10" s="149" customFormat="1">
      <c r="B828" s="149" t="s">
        <v>117</v>
      </c>
      <c r="C828" s="120"/>
      <c r="D828" s="121"/>
      <c r="E828" s="404"/>
      <c r="F828" s="404">
        <f>F824+F826+F827</f>
        <v>9750.0750000000007</v>
      </c>
      <c r="G828" s="121"/>
      <c r="H828" s="121"/>
      <c r="I828" s="121"/>
      <c r="J828" s="404"/>
    </row>
    <row r="829" spans="2:10" s="149" customFormat="1">
      <c r="B829" s="149" t="s">
        <v>60</v>
      </c>
      <c r="C829" s="120"/>
      <c r="D829" s="121"/>
      <c r="E829" s="404"/>
      <c r="F829" s="121">
        <f>F828/10</f>
        <v>975.00750000000005</v>
      </c>
      <c r="G829" s="121"/>
      <c r="H829" s="121"/>
      <c r="I829" s="121"/>
      <c r="J829" s="404"/>
    </row>
    <row r="830" spans="2:10" s="149" customFormat="1">
      <c r="B830" s="149" t="s">
        <v>493</v>
      </c>
      <c r="C830" s="121"/>
      <c r="D830" s="121"/>
      <c r="E830" s="121"/>
      <c r="F830" s="120">
        <f>F829*1%</f>
        <v>9.7500750000000007</v>
      </c>
      <c r="G830" s="121"/>
      <c r="H830" s="121"/>
      <c r="I830" s="121"/>
      <c r="J830" s="404"/>
    </row>
    <row r="831" spans="2:10" s="149" customFormat="1">
      <c r="B831" s="149" t="s">
        <v>117</v>
      </c>
      <c r="C831" s="121"/>
      <c r="D831" s="121"/>
      <c r="E831" s="121"/>
      <c r="F831" s="120">
        <f>F829+F830</f>
        <v>984.75757500000009</v>
      </c>
      <c r="G831" s="121" t="s">
        <v>544</v>
      </c>
      <c r="H831" s="121"/>
      <c r="I831" s="121"/>
      <c r="J831" s="404"/>
    </row>
    <row r="832" spans="2:10" s="149" customFormat="1">
      <c r="C832" s="121"/>
      <c r="D832" s="121"/>
      <c r="E832" s="121" t="s">
        <v>120</v>
      </c>
      <c r="F832" s="120">
        <f>ROUND(F831,0)</f>
        <v>985</v>
      </c>
      <c r="G832" s="121"/>
      <c r="H832" s="121"/>
      <c r="I832" s="121"/>
      <c r="J832" s="120"/>
    </row>
    <row r="833" spans="1:10" s="149" customFormat="1" ht="51">
      <c r="A833" s="133">
        <v>28</v>
      </c>
      <c r="B833" s="129" t="s">
        <v>1045</v>
      </c>
      <c r="C833" s="401"/>
      <c r="D833" s="120"/>
      <c r="E833" s="120"/>
      <c r="F833" s="120"/>
      <c r="G833" s="120"/>
      <c r="H833" s="121"/>
      <c r="I833" s="121"/>
      <c r="J833" s="121"/>
    </row>
    <row r="834" spans="1:10" s="149" customFormat="1">
      <c r="B834" s="52" t="s">
        <v>916</v>
      </c>
      <c r="C834" s="401"/>
      <c r="D834" s="120"/>
      <c r="E834" s="120"/>
      <c r="F834" s="120"/>
      <c r="G834" s="120"/>
      <c r="H834" s="121"/>
      <c r="I834" s="121"/>
      <c r="J834" s="121"/>
    </row>
    <row r="835" spans="1:10" s="149" customFormat="1">
      <c r="B835" s="52" t="s">
        <v>28</v>
      </c>
      <c r="C835" s="401"/>
      <c r="D835" s="120"/>
      <c r="E835" s="120"/>
      <c r="F835" s="120"/>
      <c r="G835" s="120"/>
      <c r="H835" s="121"/>
      <c r="I835" s="121"/>
      <c r="J835" s="121"/>
    </row>
    <row r="836" spans="1:10" s="149" customFormat="1">
      <c r="B836" s="407" t="s">
        <v>917</v>
      </c>
      <c r="C836" s="401">
        <v>1.6899999999999998E-2</v>
      </c>
      <c r="D836" s="23" t="s">
        <v>918</v>
      </c>
      <c r="E836" s="120">
        <f>Lead!E17</f>
        <v>754</v>
      </c>
      <c r="F836" s="120">
        <f>C836*E836</f>
        <v>12.742599999999999</v>
      </c>
      <c r="G836" s="120"/>
      <c r="H836" s="121"/>
      <c r="I836" s="121"/>
      <c r="J836" s="121"/>
    </row>
    <row r="837" spans="1:10" s="149" customFormat="1">
      <c r="B837" s="407" t="s">
        <v>151</v>
      </c>
      <c r="C837" s="401">
        <v>1.6899999999999998E-2</v>
      </c>
      <c r="D837" s="23" t="s">
        <v>918</v>
      </c>
      <c r="E837" s="120">
        <f>Lead!E20</f>
        <v>55</v>
      </c>
      <c r="F837" s="120">
        <f>C837*E837</f>
        <v>0.92949999999999988</v>
      </c>
      <c r="G837" s="120"/>
      <c r="H837" s="121"/>
      <c r="I837" s="121"/>
      <c r="J837" s="121"/>
    </row>
    <row r="838" spans="1:10" s="149" customFormat="1">
      <c r="B838" s="3" t="s">
        <v>919</v>
      </c>
      <c r="C838" s="401">
        <v>0.1208</v>
      </c>
      <c r="D838" s="23" t="s">
        <v>920</v>
      </c>
      <c r="E838" s="120">
        <f>Lead!E29</f>
        <v>650</v>
      </c>
      <c r="F838" s="120">
        <f>C838*E838</f>
        <v>78.52</v>
      </c>
      <c r="G838" s="120"/>
      <c r="H838" s="121"/>
      <c r="I838" s="121"/>
      <c r="J838" s="121"/>
    </row>
    <row r="839" spans="1:10" s="149" customFormat="1">
      <c r="B839" s="408" t="s">
        <v>111</v>
      </c>
      <c r="C839" s="401"/>
      <c r="D839" s="120"/>
      <c r="E839" s="120"/>
      <c r="F839" s="120"/>
      <c r="G839" s="120"/>
      <c r="H839" s="120"/>
      <c r="I839" s="121"/>
      <c r="J839" s="121"/>
    </row>
    <row r="840" spans="1:10" s="149" customFormat="1">
      <c r="B840" s="407" t="s">
        <v>921</v>
      </c>
      <c r="C840" s="401">
        <v>0.1</v>
      </c>
      <c r="D840" s="120" t="s">
        <v>854</v>
      </c>
      <c r="E840" s="120">
        <f>Lead!E64</f>
        <v>260</v>
      </c>
      <c r="F840" s="120">
        <f>C840*E840</f>
        <v>26</v>
      </c>
      <c r="G840" s="120"/>
      <c r="H840" s="120"/>
      <c r="I840" s="121"/>
      <c r="J840" s="121"/>
    </row>
    <row r="841" spans="1:10" s="149" customFormat="1">
      <c r="B841" s="409" t="s">
        <v>922</v>
      </c>
      <c r="C841" s="302">
        <v>0.33</v>
      </c>
      <c r="D841" s="120" t="s">
        <v>854</v>
      </c>
      <c r="E841" s="120">
        <f>Lead!E47</f>
        <v>200</v>
      </c>
      <c r="F841" s="173">
        <f>C841*E841</f>
        <v>66</v>
      </c>
      <c r="G841" s="120"/>
      <c r="H841" s="120"/>
      <c r="I841" s="121"/>
      <c r="J841" s="121"/>
    </row>
    <row r="842" spans="1:10" s="149" customFormat="1" ht="26.25" customHeight="1">
      <c r="B842" s="3" t="s">
        <v>923</v>
      </c>
      <c r="C842" s="302">
        <v>0.03</v>
      </c>
      <c r="D842" s="120" t="s">
        <v>854</v>
      </c>
      <c r="E842" s="120">
        <f>Lead!E47</f>
        <v>200</v>
      </c>
      <c r="F842" s="410">
        <f>C842*E842</f>
        <v>6</v>
      </c>
      <c r="G842" s="120"/>
      <c r="H842" s="120"/>
      <c r="I842" s="406"/>
      <c r="J842" s="121"/>
    </row>
    <row r="843" spans="1:10" s="149" customFormat="1">
      <c r="B843" s="3"/>
      <c r="C843" s="302"/>
      <c r="D843" s="120"/>
      <c r="E843" s="120"/>
      <c r="F843" s="120">
        <f>SUM(F836:F842)</f>
        <v>190.19209999999998</v>
      </c>
      <c r="G843" s="120"/>
      <c r="H843" s="120"/>
      <c r="I843" s="406"/>
      <c r="J843" s="121"/>
    </row>
    <row r="844" spans="1:10" s="149" customFormat="1">
      <c r="B844" s="52" t="s">
        <v>924</v>
      </c>
      <c r="C844" s="302"/>
      <c r="D844" s="23"/>
      <c r="E844" s="120"/>
      <c r="F844" s="120">
        <f>F843*0.075</f>
        <v>14.264407499999999</v>
      </c>
      <c r="G844" s="16"/>
      <c r="H844" s="120"/>
      <c r="I844" s="406"/>
      <c r="J844" s="121"/>
    </row>
    <row r="845" spans="1:10" s="149" customFormat="1">
      <c r="B845" s="52" t="s">
        <v>925</v>
      </c>
      <c r="C845" s="302"/>
      <c r="D845" s="23"/>
      <c r="E845" s="120"/>
      <c r="F845" s="210">
        <f>F843*0.075</f>
        <v>14.264407499999999</v>
      </c>
      <c r="G845" s="16"/>
      <c r="H845" s="120"/>
      <c r="I845" s="406"/>
      <c r="J845" s="121"/>
    </row>
    <row r="846" spans="1:10" s="149" customFormat="1">
      <c r="B846" s="411"/>
      <c r="C846" s="57"/>
      <c r="D846" s="16"/>
      <c r="E846" s="120"/>
      <c r="F846" s="120">
        <f>SUM(F843:F845)</f>
        <v>218.72091499999999</v>
      </c>
      <c r="G846" s="120"/>
      <c r="H846" s="120"/>
      <c r="I846" s="406"/>
      <c r="J846" s="121"/>
    </row>
    <row r="847" spans="1:10" s="149" customFormat="1">
      <c r="B847" s="149" t="s">
        <v>124</v>
      </c>
      <c r="C847" s="57"/>
      <c r="D847" s="16"/>
      <c r="E847" s="120"/>
      <c r="F847" s="120"/>
      <c r="G847" s="120"/>
      <c r="H847" s="120"/>
      <c r="I847" s="406"/>
      <c r="J847" s="121"/>
    </row>
    <row r="848" spans="1:10" s="149" customFormat="1">
      <c r="B848" s="407" t="s">
        <v>917</v>
      </c>
      <c r="C848" s="401">
        <v>1.6899999999999998E-2</v>
      </c>
      <c r="D848" s="23" t="s">
        <v>918</v>
      </c>
      <c r="E848" s="120">
        <f>Lead!J17</f>
        <v>850.4</v>
      </c>
      <c r="F848" s="173">
        <f>C848*E848</f>
        <v>14.371759999999998</v>
      </c>
      <c r="G848" s="120"/>
      <c r="H848" s="120"/>
      <c r="I848" s="406"/>
      <c r="J848" s="121"/>
    </row>
    <row r="849" spans="1:10" s="149" customFormat="1">
      <c r="B849" s="149" t="s">
        <v>151</v>
      </c>
      <c r="C849" s="401">
        <v>1.6899999999999998E-2</v>
      </c>
      <c r="D849" s="23" t="s">
        <v>918</v>
      </c>
      <c r="E849" s="120">
        <f>Lead!J20</f>
        <v>196.4</v>
      </c>
      <c r="F849" s="173">
        <f>C849*E849</f>
        <v>3.3191599999999997</v>
      </c>
      <c r="G849" s="120"/>
      <c r="H849" s="120"/>
      <c r="I849" s="406"/>
      <c r="J849" s="121"/>
    </row>
    <row r="850" spans="1:10" s="149" customFormat="1">
      <c r="B850" s="3" t="s">
        <v>919</v>
      </c>
      <c r="C850" s="401">
        <v>0.1208</v>
      </c>
      <c r="D850" s="23" t="s">
        <v>920</v>
      </c>
      <c r="E850" s="120">
        <f>Lead!J29</f>
        <v>16.899999999999999</v>
      </c>
      <c r="F850" s="210">
        <f>C850*E850</f>
        <v>2.0415199999999998</v>
      </c>
      <c r="G850" s="120"/>
      <c r="H850" s="120"/>
      <c r="I850" s="406"/>
      <c r="J850" s="121"/>
    </row>
    <row r="851" spans="1:10" s="149" customFormat="1">
      <c r="B851" s="149" t="s">
        <v>117</v>
      </c>
      <c r="C851" s="57"/>
      <c r="D851" s="16"/>
      <c r="E851" s="120"/>
      <c r="F851" s="120">
        <f>SUM(F848:F850)</f>
        <v>19.732439999999997</v>
      </c>
      <c r="G851" s="120"/>
      <c r="H851" s="120"/>
      <c r="I851" s="406"/>
      <c r="J851" s="121"/>
    </row>
    <row r="852" spans="1:10" s="149" customFormat="1">
      <c r="B852" s="149" t="s">
        <v>60</v>
      </c>
      <c r="C852" s="57"/>
      <c r="D852" s="16"/>
      <c r="E852" s="120"/>
      <c r="F852" s="120">
        <f>F846+F851</f>
        <v>238.45335499999999</v>
      </c>
      <c r="G852" s="120"/>
      <c r="H852" s="120"/>
      <c r="I852" s="406"/>
      <c r="J852" s="121"/>
    </row>
    <row r="853" spans="1:10" s="149" customFormat="1">
      <c r="B853" s="149" t="s">
        <v>493</v>
      </c>
      <c r="C853" s="57"/>
      <c r="D853" s="16"/>
      <c r="E853" s="120"/>
      <c r="F853" s="120">
        <f>F852*1%</f>
        <v>2.38453355</v>
      </c>
      <c r="G853" s="120"/>
      <c r="H853" s="102"/>
      <c r="I853" s="121"/>
      <c r="J853" s="121"/>
    </row>
    <row r="854" spans="1:10" s="149" customFormat="1">
      <c r="B854" s="149" t="s">
        <v>117</v>
      </c>
      <c r="C854" s="57"/>
      <c r="D854" s="16"/>
      <c r="E854" s="120"/>
      <c r="F854" s="140">
        <f>F852+F853</f>
        <v>240.83788854999997</v>
      </c>
      <c r="G854" s="120"/>
      <c r="H854" s="102"/>
      <c r="I854" s="121"/>
      <c r="J854" s="121"/>
    </row>
    <row r="855" spans="1:10" s="149" customFormat="1">
      <c r="B855" s="52"/>
      <c r="C855" s="1241"/>
      <c r="D855" s="1241"/>
      <c r="E855" s="1241"/>
      <c r="F855" s="120"/>
      <c r="G855" s="120"/>
      <c r="H855" s="364"/>
      <c r="I855" s="121"/>
      <c r="J855" s="121"/>
    </row>
    <row r="856" spans="1:10" s="149" customFormat="1" ht="63.75">
      <c r="A856" s="128">
        <v>29</v>
      </c>
      <c r="B856" s="408" t="s">
        <v>160</v>
      </c>
      <c r="C856" s="4"/>
      <c r="D856" s="138" t="s">
        <v>165</v>
      </c>
      <c r="E856" s="4"/>
      <c r="F856" s="4"/>
      <c r="G856" s="121"/>
      <c r="H856" s="121"/>
      <c r="I856" s="121"/>
      <c r="J856" s="121"/>
    </row>
    <row r="857" spans="1:10" s="149" customFormat="1">
      <c r="A857" s="5"/>
      <c r="B857" s="15" t="s">
        <v>14</v>
      </c>
      <c r="C857" s="4"/>
      <c r="D857" s="4"/>
      <c r="E857" s="4"/>
      <c r="F857" s="4"/>
      <c r="G857" s="121"/>
      <c r="H857" s="121"/>
      <c r="I857" s="121"/>
      <c r="J857" s="121"/>
    </row>
    <row r="858" spans="1:10" s="149" customFormat="1">
      <c r="A858" s="5"/>
      <c r="B858" s="15" t="s">
        <v>150</v>
      </c>
      <c r="C858" s="4"/>
      <c r="D858" s="4"/>
      <c r="E858" s="4"/>
      <c r="F858" s="4"/>
      <c r="G858" s="121"/>
      <c r="H858" s="121"/>
      <c r="I858" s="121"/>
      <c r="J858" s="121"/>
    </row>
    <row r="859" spans="1:10" s="149" customFormat="1">
      <c r="A859" s="5"/>
      <c r="B859" s="15" t="s">
        <v>33</v>
      </c>
      <c r="C859" s="138" t="s">
        <v>15</v>
      </c>
      <c r="D859" s="138" t="s">
        <v>127</v>
      </c>
      <c r="E859" s="96">
        <f>Lead!E29</f>
        <v>650</v>
      </c>
      <c r="F859" s="785">
        <f>C859*E859</f>
        <v>1207.05</v>
      </c>
      <c r="G859" s="121"/>
      <c r="H859" s="121"/>
      <c r="I859" s="121"/>
      <c r="J859" s="121"/>
    </row>
    <row r="860" spans="1:10" s="149" customFormat="1">
      <c r="A860" s="5"/>
      <c r="B860" s="15" t="s">
        <v>162</v>
      </c>
      <c r="C860" s="138" t="s">
        <v>163</v>
      </c>
      <c r="D860" s="138" t="s">
        <v>123</v>
      </c>
      <c r="E860" s="96">
        <f>Lead!E20</f>
        <v>55</v>
      </c>
      <c r="F860" s="785">
        <f>C860*E860</f>
        <v>7.15</v>
      </c>
      <c r="G860" s="121"/>
      <c r="H860" s="121"/>
      <c r="I860" s="121"/>
      <c r="J860" s="121"/>
    </row>
    <row r="861" spans="1:10" s="149" customFormat="1">
      <c r="A861" s="5"/>
      <c r="B861" s="15" t="s">
        <v>33</v>
      </c>
      <c r="C861" s="138" t="s">
        <v>16</v>
      </c>
      <c r="D861" s="138" t="s">
        <v>127</v>
      </c>
      <c r="E861" s="96">
        <f>E859</f>
        <v>650</v>
      </c>
      <c r="F861" s="785">
        <f>C861*E861</f>
        <v>286</v>
      </c>
      <c r="G861" s="121"/>
      <c r="H861" s="121"/>
      <c r="I861" s="121"/>
      <c r="J861" s="121"/>
    </row>
    <row r="862" spans="1:10" s="149" customFormat="1">
      <c r="A862" s="5"/>
      <c r="B862" s="15" t="s">
        <v>33</v>
      </c>
      <c r="C862" s="138" t="s">
        <v>16</v>
      </c>
      <c r="D862" s="138" t="s">
        <v>127</v>
      </c>
      <c r="E862" s="96">
        <f>E859</f>
        <v>650</v>
      </c>
      <c r="F862" s="785">
        <f>C862*E862</f>
        <v>286</v>
      </c>
      <c r="G862" s="121"/>
      <c r="H862" s="121"/>
      <c r="I862" s="121"/>
      <c r="J862" s="121"/>
    </row>
    <row r="863" spans="1:10" s="149" customFormat="1">
      <c r="A863" s="5"/>
      <c r="B863" s="15" t="s">
        <v>152</v>
      </c>
      <c r="C863" s="4"/>
      <c r="D863" s="4"/>
      <c r="E863" s="16"/>
      <c r="F863" s="785"/>
      <c r="G863" s="121"/>
      <c r="H863" s="121"/>
      <c r="I863" s="121"/>
      <c r="J863" s="121"/>
    </row>
    <row r="864" spans="1:10" s="149" customFormat="1">
      <c r="A864" s="5"/>
      <c r="B864" s="15" t="s">
        <v>155</v>
      </c>
      <c r="C864" s="138" t="s">
        <v>17</v>
      </c>
      <c r="D864" s="138" t="s">
        <v>114</v>
      </c>
      <c r="E864" s="96">
        <f>Lead!E64</f>
        <v>260</v>
      </c>
      <c r="F864" s="785">
        <f>C864*E864</f>
        <v>561.6</v>
      </c>
      <c r="G864" s="121"/>
      <c r="H864" s="121"/>
      <c r="I864" s="121"/>
      <c r="J864" s="121"/>
    </row>
    <row r="865" spans="1:10" s="149" customFormat="1">
      <c r="A865" s="5"/>
      <c r="B865" s="15" t="s">
        <v>113</v>
      </c>
      <c r="C865" s="138" t="s">
        <v>17</v>
      </c>
      <c r="D865" s="138" t="s">
        <v>114</v>
      </c>
      <c r="E865" s="96">
        <f>Lead!E47</f>
        <v>200</v>
      </c>
      <c r="F865" s="785">
        <f>C865*E865</f>
        <v>432</v>
      </c>
      <c r="G865" s="121"/>
      <c r="H865" s="121"/>
      <c r="I865" s="121"/>
      <c r="J865" s="121"/>
    </row>
    <row r="866" spans="1:10" s="149" customFormat="1">
      <c r="A866" s="5"/>
      <c r="B866" s="15" t="s">
        <v>658</v>
      </c>
      <c r="C866" s="4"/>
      <c r="D866" s="138" t="s">
        <v>116</v>
      </c>
      <c r="E866" s="785">
        <f>SUM(F859:F865)</f>
        <v>2779.8</v>
      </c>
      <c r="F866" s="785">
        <f>E866*0.15</f>
        <v>416.97</v>
      </c>
      <c r="G866" s="121"/>
      <c r="H866" s="121"/>
      <c r="I866" s="121"/>
      <c r="J866" s="121"/>
    </row>
    <row r="867" spans="1:10" s="149" customFormat="1">
      <c r="A867" s="5"/>
      <c r="B867" s="15" t="s">
        <v>117</v>
      </c>
      <c r="C867" s="4"/>
      <c r="D867" s="4"/>
      <c r="E867" s="4"/>
      <c r="F867" s="785">
        <f>SUM(F859:F866)</f>
        <v>3196.7700000000004</v>
      </c>
      <c r="G867" s="121"/>
      <c r="H867" s="121"/>
      <c r="I867" s="121"/>
      <c r="J867" s="121"/>
    </row>
    <row r="868" spans="1:10" s="149" customFormat="1">
      <c r="A868" s="5"/>
      <c r="B868" s="15" t="s">
        <v>60</v>
      </c>
      <c r="C868" s="4"/>
      <c r="D868" s="4"/>
      <c r="E868" s="4"/>
      <c r="F868" s="785">
        <f>F867/10</f>
        <v>319.67700000000002</v>
      </c>
      <c r="G868" s="121"/>
      <c r="H868" s="121"/>
      <c r="I868" s="121"/>
      <c r="J868" s="121"/>
    </row>
    <row r="869" spans="1:10" s="149" customFormat="1">
      <c r="A869" s="5"/>
      <c r="B869" s="15" t="s">
        <v>34</v>
      </c>
      <c r="C869" s="138" t="s">
        <v>112</v>
      </c>
      <c r="D869" s="138" t="s">
        <v>161</v>
      </c>
      <c r="E869" s="96">
        <v>429</v>
      </c>
      <c r="F869" s="785">
        <f>C869*E869</f>
        <v>429</v>
      </c>
      <c r="G869" s="121"/>
      <c r="H869" s="121"/>
      <c r="I869" s="121"/>
      <c r="J869" s="121"/>
    </row>
    <row r="870" spans="1:10" s="149" customFormat="1">
      <c r="A870" s="5"/>
      <c r="B870" s="99" t="s">
        <v>124</v>
      </c>
      <c r="C870" s="4"/>
      <c r="D870" s="4"/>
      <c r="E870" s="4"/>
      <c r="F870" s="785"/>
      <c r="G870" s="121"/>
      <c r="H870" s="121"/>
      <c r="I870" s="121"/>
      <c r="J870" s="121"/>
    </row>
    <row r="871" spans="1:10" s="149" customFormat="1">
      <c r="A871" s="5"/>
      <c r="B871" s="15" t="s">
        <v>2</v>
      </c>
      <c r="C871" s="138">
        <v>180</v>
      </c>
      <c r="D871" s="138" t="s">
        <v>88</v>
      </c>
      <c r="E871" s="96">
        <f>E971</f>
        <v>5.615555555555555</v>
      </c>
      <c r="F871" s="785">
        <f>E871/C871</f>
        <v>3.1197530864197527E-2</v>
      </c>
      <c r="G871" s="121"/>
      <c r="H871" s="121"/>
      <c r="I871" s="121"/>
      <c r="J871" s="121"/>
    </row>
    <row r="872" spans="1:10" s="149" customFormat="1">
      <c r="A872" s="5"/>
      <c r="B872" s="15" t="s">
        <v>151</v>
      </c>
      <c r="C872" s="138">
        <v>0.13</v>
      </c>
      <c r="D872" s="138" t="s">
        <v>123</v>
      </c>
      <c r="E872" s="96">
        <f>Lead!J20</f>
        <v>196.4</v>
      </c>
      <c r="F872" s="785">
        <f>E872*C872/10</f>
        <v>2.5531999999999999</v>
      </c>
      <c r="G872" s="121"/>
      <c r="H872" s="121"/>
      <c r="I872" s="121"/>
      <c r="J872" s="121"/>
    </row>
    <row r="873" spans="1:10" s="149" customFormat="1">
      <c r="A873" s="5"/>
      <c r="B873" s="15" t="s">
        <v>33</v>
      </c>
      <c r="C873" s="138">
        <f>C859+C861+C862</f>
        <v>2.7370000000000001</v>
      </c>
      <c r="D873" s="138" t="s">
        <v>127</v>
      </c>
      <c r="E873" s="96">
        <f>Lead!J29</f>
        <v>16.899999999999999</v>
      </c>
      <c r="F873" s="785">
        <f>E873*C873/10</f>
        <v>4.6255299999999995</v>
      </c>
      <c r="G873" s="121"/>
      <c r="H873" s="121"/>
      <c r="I873" s="121"/>
      <c r="J873" s="121"/>
    </row>
    <row r="874" spans="1:10" s="149" customFormat="1">
      <c r="A874" s="5"/>
      <c r="B874" s="15" t="s">
        <v>117</v>
      </c>
      <c r="C874" s="4"/>
      <c r="D874" s="4"/>
      <c r="E874" s="4"/>
      <c r="F874" s="785">
        <f>SUM(F868:F873)</f>
        <v>755.88692753086423</v>
      </c>
      <c r="G874" s="121"/>
      <c r="H874" s="121"/>
      <c r="I874" s="121"/>
      <c r="J874" s="121"/>
    </row>
    <row r="875" spans="1:10" s="149" customFormat="1">
      <c r="A875" s="5"/>
      <c r="B875" s="63" t="s">
        <v>493</v>
      </c>
      <c r="C875" s="138"/>
      <c r="D875" s="138"/>
      <c r="E875" s="138"/>
      <c r="F875" s="785">
        <f>F874*0.01</f>
        <v>7.5588692753086422</v>
      </c>
      <c r="G875" s="121"/>
      <c r="H875" s="121"/>
      <c r="I875" s="121"/>
      <c r="J875" s="121"/>
    </row>
    <row r="876" spans="1:10" s="149" customFormat="1">
      <c r="A876" s="5"/>
      <c r="B876" s="63" t="s">
        <v>117</v>
      </c>
      <c r="C876" s="138"/>
      <c r="D876" s="138"/>
      <c r="E876" s="138"/>
      <c r="F876" s="785">
        <f>SUM(F874:F875)</f>
        <v>763.44579680617289</v>
      </c>
      <c r="G876" s="121"/>
      <c r="H876" s="121"/>
      <c r="I876" s="121"/>
      <c r="J876" s="121"/>
    </row>
    <row r="877" spans="1:10" s="149" customFormat="1">
      <c r="A877" s="5"/>
      <c r="B877" s="45"/>
      <c r="C877" s="787"/>
      <c r="D877" s="787"/>
      <c r="E877" s="787" t="s">
        <v>120</v>
      </c>
      <c r="F877" s="777">
        <f>ROUND(F876,1)</f>
        <v>763.4</v>
      </c>
      <c r="G877" s="121"/>
      <c r="H877" s="121"/>
      <c r="I877" s="121"/>
      <c r="J877" s="121"/>
    </row>
    <row r="878" spans="1:10" s="20" customFormat="1">
      <c r="A878" s="5" t="s">
        <v>38</v>
      </c>
      <c r="B878" s="64" t="s">
        <v>71</v>
      </c>
      <c r="C878" s="798"/>
      <c r="D878" s="798"/>
      <c r="E878" s="798"/>
      <c r="F878" s="798"/>
      <c r="G878" s="4"/>
      <c r="H878" s="4"/>
    </row>
    <row r="879" spans="1:10" s="20" customFormat="1">
      <c r="A879" s="5"/>
      <c r="B879" s="19" t="s">
        <v>333</v>
      </c>
      <c r="C879" s="57"/>
      <c r="D879" s="57"/>
      <c r="E879" s="57"/>
      <c r="F879" s="57">
        <f>F876</f>
        <v>763.44579680617289</v>
      </c>
      <c r="G879" s="4"/>
      <c r="H879" s="4"/>
    </row>
    <row r="880" spans="1:10" s="20" customFormat="1">
      <c r="A880" s="5"/>
      <c r="B880" s="62" t="s">
        <v>280</v>
      </c>
      <c r="C880" s="57"/>
      <c r="D880" s="4"/>
      <c r="E880" s="57">
        <f>((F864+F865)+(F864+F865)*0.15)/10</f>
        <v>114.26400000000001</v>
      </c>
      <c r="F880" s="57">
        <f>E880*0.05</f>
        <v>5.7132000000000005</v>
      </c>
      <c r="G880" s="4"/>
      <c r="H880" s="4"/>
    </row>
    <row r="881" spans="1:10" s="20" customFormat="1">
      <c r="A881" s="5"/>
      <c r="B881" s="19" t="s">
        <v>117</v>
      </c>
      <c r="C881" s="57"/>
      <c r="D881" s="57"/>
      <c r="E881" s="57"/>
      <c r="F881" s="57">
        <f>SUM(F879:F880)</f>
        <v>769.15899680617292</v>
      </c>
      <c r="G881" s="4"/>
      <c r="H881" s="4"/>
    </row>
    <row r="882" spans="1:10" s="20" customFormat="1">
      <c r="A882" s="5"/>
      <c r="B882" s="45"/>
      <c r="C882" s="798"/>
      <c r="D882" s="798"/>
      <c r="E882" s="798" t="s">
        <v>120</v>
      </c>
      <c r="F882" s="798">
        <f>ROUND(F881,1)</f>
        <v>769.2</v>
      </c>
      <c r="G882" s="4"/>
      <c r="H882" s="4"/>
    </row>
    <row r="883" spans="1:10" s="20" customFormat="1">
      <c r="A883" s="4" t="s">
        <v>39</v>
      </c>
      <c r="B883" s="19" t="s">
        <v>267</v>
      </c>
      <c r="C883" s="16"/>
      <c r="D883" s="16"/>
      <c r="E883" s="16"/>
      <c r="F883" s="16"/>
      <c r="G883" s="4"/>
      <c r="H883" s="4"/>
    </row>
    <row r="884" spans="1:10" s="20" customFormat="1">
      <c r="A884" s="4"/>
      <c r="B884" s="19" t="s">
        <v>278</v>
      </c>
      <c r="C884" s="16"/>
      <c r="D884" s="16"/>
      <c r="E884" s="16"/>
      <c r="F884" s="16">
        <f>F881</f>
        <v>769.15899680617292</v>
      </c>
      <c r="G884" s="4"/>
      <c r="H884" s="4"/>
    </row>
    <row r="885" spans="1:10" s="20" customFormat="1">
      <c r="A885" s="4"/>
      <c r="B885" s="62" t="s">
        <v>282</v>
      </c>
      <c r="C885" s="16"/>
      <c r="D885" s="16"/>
      <c r="E885" s="16">
        <f>E880+F880</f>
        <v>119.97720000000001</v>
      </c>
      <c r="F885" s="16">
        <f>E885*0.03</f>
        <v>3.599316</v>
      </c>
      <c r="G885" s="4"/>
      <c r="H885" s="4"/>
    </row>
    <row r="886" spans="1:10" s="20" customFormat="1">
      <c r="A886" s="4"/>
      <c r="B886" s="63" t="s">
        <v>117</v>
      </c>
      <c r="C886" s="16"/>
      <c r="D886" s="16"/>
      <c r="E886" s="16"/>
      <c r="F886" s="16">
        <f>SUM(F884:F885)</f>
        <v>772.75831280617297</v>
      </c>
      <c r="G886" s="4"/>
      <c r="H886" s="4"/>
    </row>
    <row r="887" spans="1:10" s="20" customFormat="1">
      <c r="A887" s="4"/>
      <c r="B887" s="45"/>
      <c r="C887" s="777"/>
      <c r="D887" s="777"/>
      <c r="E887" s="777" t="s">
        <v>120</v>
      </c>
      <c r="F887" s="777">
        <f>ROUND(F886,1)</f>
        <v>772.8</v>
      </c>
      <c r="G887" s="16"/>
      <c r="H887" s="4"/>
    </row>
    <row r="888" spans="1:10" s="149" customFormat="1">
      <c r="A888" s="5"/>
      <c r="B888" s="45"/>
      <c r="C888" s="787"/>
      <c r="D888" s="787"/>
      <c r="E888" s="787"/>
      <c r="F888" s="777"/>
      <c r="G888" s="121"/>
      <c r="H888" s="121"/>
      <c r="I888" s="121"/>
      <c r="J888" s="121"/>
    </row>
    <row r="889" spans="1:10" s="149" customFormat="1" ht="63.75">
      <c r="A889" s="128">
        <v>30</v>
      </c>
      <c r="B889" s="408" t="s">
        <v>1046</v>
      </c>
      <c r="C889" s="4"/>
      <c r="D889" s="138" t="s">
        <v>165</v>
      </c>
      <c r="E889" s="4"/>
      <c r="F889" s="4"/>
      <c r="G889" s="121"/>
      <c r="H889" s="121"/>
      <c r="I889" s="121"/>
      <c r="J889" s="121"/>
    </row>
    <row r="890" spans="1:10" s="149" customFormat="1">
      <c r="A890" s="5"/>
      <c r="B890" s="15" t="s">
        <v>14</v>
      </c>
      <c r="C890" s="4"/>
      <c r="D890" s="4"/>
      <c r="E890" s="4"/>
      <c r="F890" s="4"/>
      <c r="G890" s="121"/>
      <c r="H890" s="121"/>
      <c r="I890" s="121"/>
      <c r="J890" s="121"/>
    </row>
    <row r="891" spans="1:10" s="149" customFormat="1">
      <c r="A891" s="5"/>
      <c r="B891" s="15" t="s">
        <v>150</v>
      </c>
      <c r="C891" s="4"/>
      <c r="D891" s="4"/>
      <c r="E891" s="4"/>
      <c r="F891" s="4"/>
      <c r="G891" s="121"/>
      <c r="H891" s="121"/>
      <c r="I891" s="121"/>
      <c r="J891" s="121"/>
    </row>
    <row r="892" spans="1:10" s="149" customFormat="1">
      <c r="A892" s="5"/>
      <c r="B892" s="15" t="s">
        <v>33</v>
      </c>
      <c r="C892" s="138">
        <v>0.71499999999999997</v>
      </c>
      <c r="D892" s="138" t="s">
        <v>127</v>
      </c>
      <c r="E892" s="96">
        <f>Lead!E29</f>
        <v>650</v>
      </c>
      <c r="F892" s="785">
        <f>C892*E892</f>
        <v>464.75</v>
      </c>
      <c r="G892" s="121"/>
      <c r="H892" s="121"/>
      <c r="I892" s="121"/>
      <c r="J892" s="121"/>
    </row>
    <row r="893" spans="1:10" s="149" customFormat="1">
      <c r="A893" s="5"/>
      <c r="B893" s="15" t="s">
        <v>162</v>
      </c>
      <c r="C893" s="138">
        <v>0.15</v>
      </c>
      <c r="D893" s="138" t="s">
        <v>123</v>
      </c>
      <c r="E893" s="96">
        <f>Lead!E20</f>
        <v>55</v>
      </c>
      <c r="F893" s="785">
        <f>C893*E893</f>
        <v>8.25</v>
      </c>
      <c r="G893" s="121"/>
      <c r="H893" s="121"/>
      <c r="I893" s="121"/>
      <c r="J893" s="121"/>
    </row>
    <row r="894" spans="1:10" s="149" customFormat="1">
      <c r="A894" s="5"/>
      <c r="B894" s="15" t="s">
        <v>33</v>
      </c>
      <c r="C894" s="138">
        <v>0.66</v>
      </c>
      <c r="D894" s="138" t="s">
        <v>127</v>
      </c>
      <c r="E894" s="96">
        <f>E892</f>
        <v>650</v>
      </c>
      <c r="F894" s="785">
        <f>C894*E894</f>
        <v>429</v>
      </c>
      <c r="G894" s="121"/>
      <c r="H894" s="121"/>
      <c r="I894" s="121"/>
      <c r="J894" s="121"/>
    </row>
    <row r="895" spans="1:10" s="149" customFormat="1">
      <c r="A895" s="5"/>
      <c r="B895" s="15" t="s">
        <v>152</v>
      </c>
      <c r="C895" s="4"/>
      <c r="D895" s="4"/>
      <c r="E895" s="16"/>
      <c r="F895" s="4"/>
      <c r="G895" s="121"/>
      <c r="H895" s="121"/>
      <c r="I895" s="121"/>
      <c r="J895" s="121"/>
    </row>
    <row r="896" spans="1:10" s="149" customFormat="1">
      <c r="A896" s="5"/>
      <c r="B896" s="15" t="s">
        <v>155</v>
      </c>
      <c r="C896" s="138">
        <v>3.25</v>
      </c>
      <c r="D896" s="138" t="s">
        <v>114</v>
      </c>
      <c r="E896" s="96">
        <f>Lead!E64</f>
        <v>260</v>
      </c>
      <c r="F896" s="785">
        <f>C896*E896</f>
        <v>845</v>
      </c>
      <c r="G896" s="121"/>
      <c r="H896" s="121"/>
      <c r="I896" s="121"/>
      <c r="J896" s="121"/>
    </row>
    <row r="897" spans="1:10" s="149" customFormat="1">
      <c r="A897" s="5"/>
      <c r="B897" s="15" t="s">
        <v>113</v>
      </c>
      <c r="C897" s="138">
        <v>3.25</v>
      </c>
      <c r="D897" s="138" t="s">
        <v>114</v>
      </c>
      <c r="E897" s="96">
        <f>Lead!E47</f>
        <v>200</v>
      </c>
      <c r="F897" s="785">
        <f>C897*E897</f>
        <v>650</v>
      </c>
      <c r="G897" s="121"/>
      <c r="H897" s="121"/>
      <c r="I897" s="121"/>
      <c r="J897" s="121"/>
    </row>
    <row r="898" spans="1:10" s="149" customFormat="1">
      <c r="A898" s="5"/>
      <c r="B898" s="15" t="s">
        <v>658</v>
      </c>
      <c r="C898" s="4"/>
      <c r="D898" s="138" t="s">
        <v>116</v>
      </c>
      <c r="E898" s="785">
        <f>SUM(F892:F897)</f>
        <v>2397</v>
      </c>
      <c r="F898" s="785">
        <f>E898*0.15</f>
        <v>359.55</v>
      </c>
      <c r="G898" s="121"/>
      <c r="H898" s="121"/>
      <c r="I898" s="121"/>
      <c r="J898" s="121"/>
    </row>
    <row r="899" spans="1:10" s="149" customFormat="1">
      <c r="A899" s="5"/>
      <c r="B899" s="15" t="s">
        <v>117</v>
      </c>
      <c r="C899" s="4"/>
      <c r="D899" s="4"/>
      <c r="E899" s="4"/>
      <c r="F899" s="785">
        <f>SUM(F892:F898)</f>
        <v>2756.55</v>
      </c>
      <c r="G899" s="121"/>
      <c r="H899" s="121"/>
      <c r="I899" s="121"/>
      <c r="J899" s="121"/>
    </row>
    <row r="900" spans="1:10" s="149" customFormat="1">
      <c r="A900" s="5"/>
      <c r="B900" s="15" t="s">
        <v>60</v>
      </c>
      <c r="C900" s="4"/>
      <c r="D900" s="4"/>
      <c r="E900" s="4"/>
      <c r="F900" s="785">
        <f>F899/10</f>
        <v>275.65500000000003</v>
      </c>
      <c r="G900" s="121"/>
      <c r="H900" s="121"/>
      <c r="I900" s="121"/>
      <c r="J900" s="121"/>
    </row>
    <row r="901" spans="1:10" s="149" customFormat="1">
      <c r="A901" s="5"/>
      <c r="B901" s="15" t="s">
        <v>1047</v>
      </c>
      <c r="C901" s="138" t="s">
        <v>112</v>
      </c>
      <c r="D901" s="138" t="s">
        <v>161</v>
      </c>
      <c r="E901" s="96">
        <v>387</v>
      </c>
      <c r="F901" s="785">
        <f>C901*E901</f>
        <v>387</v>
      </c>
      <c r="G901" s="121"/>
      <c r="H901" s="121"/>
      <c r="I901" s="121"/>
      <c r="J901" s="121"/>
    </row>
    <row r="902" spans="1:10" s="149" customFormat="1">
      <c r="A902" s="5"/>
      <c r="B902" s="15" t="s">
        <v>124</v>
      </c>
      <c r="C902" s="4"/>
      <c r="D902" s="4"/>
      <c r="E902" s="4"/>
      <c r="F902" s="785"/>
      <c r="G902" s="121"/>
      <c r="H902" s="121"/>
      <c r="I902" s="121"/>
      <c r="J902" s="121"/>
    </row>
    <row r="903" spans="1:10" s="149" customFormat="1">
      <c r="A903" s="5"/>
      <c r="B903" s="15" t="s">
        <v>2</v>
      </c>
      <c r="C903" s="138">
        <v>1</v>
      </c>
      <c r="D903" s="138" t="s">
        <v>32</v>
      </c>
      <c r="E903" s="96">
        <f>1010.8/180</f>
        <v>5.615555555555555</v>
      </c>
      <c r="F903" s="785">
        <f>E903/C903</f>
        <v>5.615555555555555</v>
      </c>
      <c r="G903" s="121"/>
      <c r="H903" s="121"/>
      <c r="I903" s="121"/>
      <c r="J903" s="121"/>
    </row>
    <row r="904" spans="1:10" s="149" customFormat="1">
      <c r="A904" s="5"/>
      <c r="B904" s="15" t="s">
        <v>151</v>
      </c>
      <c r="C904" s="138">
        <v>0.15</v>
      </c>
      <c r="D904" s="138" t="s">
        <v>123</v>
      </c>
      <c r="E904" s="96">
        <f>Lead!J20</f>
        <v>196.4</v>
      </c>
      <c r="F904" s="785">
        <f>E904*C904/10</f>
        <v>2.9460000000000002</v>
      </c>
      <c r="G904" s="121"/>
      <c r="H904" s="121"/>
      <c r="I904" s="121"/>
      <c r="J904" s="121"/>
    </row>
    <row r="905" spans="1:10" s="149" customFormat="1">
      <c r="A905" s="5"/>
      <c r="B905" s="15" t="s">
        <v>33</v>
      </c>
      <c r="C905" s="138">
        <f>C892+C894</f>
        <v>1.375</v>
      </c>
      <c r="D905" s="138" t="s">
        <v>127</v>
      </c>
      <c r="E905" s="96">
        <f>Lead!J29</f>
        <v>16.899999999999999</v>
      </c>
      <c r="F905" s="785">
        <f>E905*C905/10</f>
        <v>2.3237499999999995</v>
      </c>
      <c r="G905" s="121"/>
      <c r="H905" s="121"/>
      <c r="I905" s="121"/>
      <c r="J905" s="121"/>
    </row>
    <row r="906" spans="1:10" s="149" customFormat="1">
      <c r="A906" s="5"/>
      <c r="B906" s="15" t="s">
        <v>117</v>
      </c>
      <c r="C906" s="4"/>
      <c r="D906" s="4"/>
      <c r="E906" s="4"/>
      <c r="F906" s="785">
        <f>SUM(F900:F905)</f>
        <v>673.54030555555562</v>
      </c>
      <c r="G906" s="121"/>
      <c r="H906" s="121"/>
      <c r="I906" s="121"/>
      <c r="J906" s="121"/>
    </row>
    <row r="907" spans="1:10" s="149" customFormat="1">
      <c r="A907" s="5"/>
      <c r="B907" s="63" t="s">
        <v>493</v>
      </c>
      <c r="C907" s="138"/>
      <c r="D907" s="138"/>
      <c r="E907" s="138"/>
      <c r="F907" s="785">
        <f>F906*0.01</f>
        <v>6.7354030555555564</v>
      </c>
      <c r="G907" s="121"/>
      <c r="H907" s="121"/>
      <c r="I907" s="121"/>
      <c r="J907" s="121"/>
    </row>
    <row r="908" spans="1:10" s="149" customFormat="1">
      <c r="A908" s="5"/>
      <c r="B908" s="63" t="s">
        <v>117</v>
      </c>
      <c r="C908" s="138"/>
      <c r="D908" s="138"/>
      <c r="E908" s="138"/>
      <c r="F908" s="785">
        <f>SUM(F906:F907)</f>
        <v>680.27570861111121</v>
      </c>
      <c r="G908" s="121"/>
      <c r="H908" s="121"/>
      <c r="I908" s="121"/>
      <c r="J908" s="121"/>
    </row>
    <row r="909" spans="1:10" s="149" customFormat="1">
      <c r="A909" s="5"/>
      <c r="B909" s="45"/>
      <c r="C909" s="787"/>
      <c r="D909" s="787"/>
      <c r="E909" s="787" t="s">
        <v>120</v>
      </c>
      <c r="F909" s="777">
        <f>ROUND(F908,1)</f>
        <v>680.3</v>
      </c>
      <c r="G909" s="121"/>
      <c r="H909" s="121"/>
      <c r="I909" s="121"/>
      <c r="J909" s="121"/>
    </row>
    <row r="910" spans="1:10" s="149" customFormat="1" ht="14.25" customHeight="1">
      <c r="A910" s="5"/>
      <c r="B910" s="45"/>
      <c r="C910" s="787"/>
      <c r="D910" s="787"/>
      <c r="E910" s="787"/>
      <c r="F910" s="777"/>
      <c r="G910" s="121"/>
      <c r="H910" s="121"/>
      <c r="I910" s="121"/>
      <c r="J910" s="121"/>
    </row>
    <row r="911" spans="1:10" s="20" customFormat="1">
      <c r="A911" s="5" t="s">
        <v>38</v>
      </c>
      <c r="B911" s="64" t="s">
        <v>71</v>
      </c>
      <c r="C911" s="798"/>
      <c r="D911" s="798"/>
      <c r="E911" s="798"/>
      <c r="F911" s="798"/>
      <c r="G911" s="4"/>
      <c r="H911" s="4"/>
    </row>
    <row r="912" spans="1:10" s="20" customFormat="1">
      <c r="A912" s="5"/>
      <c r="B912" s="19" t="s">
        <v>333</v>
      </c>
      <c r="C912" s="57"/>
      <c r="D912" s="57"/>
      <c r="E912" s="57"/>
      <c r="F912" s="57">
        <f>F908</f>
        <v>680.27570861111121</v>
      </c>
      <c r="G912" s="4"/>
      <c r="H912" s="4"/>
    </row>
    <row r="913" spans="1:10" s="20" customFormat="1">
      <c r="A913" s="5"/>
      <c r="B913" s="62" t="s">
        <v>280</v>
      </c>
      <c r="C913" s="57"/>
      <c r="D913" s="4"/>
      <c r="E913" s="57">
        <f>((F896+F897)+(F896+F897)*0.15)/10</f>
        <v>171.92500000000001</v>
      </c>
      <c r="F913" s="57">
        <f>E913*0.05</f>
        <v>8.5962500000000013</v>
      </c>
      <c r="G913" s="4"/>
      <c r="H913" s="4"/>
    </row>
    <row r="914" spans="1:10" s="20" customFormat="1">
      <c r="A914" s="5"/>
      <c r="B914" s="19" t="s">
        <v>117</v>
      </c>
      <c r="C914" s="57"/>
      <c r="D914" s="57"/>
      <c r="E914" s="57"/>
      <c r="F914" s="57">
        <f>SUM(F912:F913)</f>
        <v>688.87195861111127</v>
      </c>
      <c r="G914" s="4"/>
      <c r="H914" s="4"/>
    </row>
    <row r="915" spans="1:10" s="20" customFormat="1">
      <c r="A915" s="5"/>
      <c r="B915" s="45"/>
      <c r="C915" s="798"/>
      <c r="D915" s="798"/>
      <c r="E915" s="798" t="s">
        <v>120</v>
      </c>
      <c r="F915" s="798">
        <f>ROUND(F914,1)</f>
        <v>688.9</v>
      </c>
      <c r="G915" s="4"/>
      <c r="H915" s="4"/>
    </row>
    <row r="916" spans="1:10" s="20" customFormat="1">
      <c r="A916" s="4" t="s">
        <v>39</v>
      </c>
      <c r="B916" s="19" t="s">
        <v>267</v>
      </c>
      <c r="C916" s="16"/>
      <c r="D916" s="16"/>
      <c r="E916" s="16"/>
      <c r="F916" s="16"/>
      <c r="G916" s="4"/>
      <c r="H916" s="4"/>
    </row>
    <row r="917" spans="1:10" s="20" customFormat="1">
      <c r="A917" s="4"/>
      <c r="B917" s="19" t="s">
        <v>278</v>
      </c>
      <c r="C917" s="16"/>
      <c r="D917" s="16"/>
      <c r="E917" s="16"/>
      <c r="F917" s="16">
        <f>F914</f>
        <v>688.87195861111127</v>
      </c>
      <c r="G917" s="4"/>
      <c r="H917" s="4"/>
    </row>
    <row r="918" spans="1:10" s="20" customFormat="1">
      <c r="A918" s="4"/>
      <c r="B918" s="62" t="s">
        <v>282</v>
      </c>
      <c r="C918" s="16"/>
      <c r="D918" s="16"/>
      <c r="E918" s="16">
        <f>E913+F913</f>
        <v>180.52125000000001</v>
      </c>
      <c r="F918" s="16">
        <f>E918*0.03</f>
        <v>5.4156374999999999</v>
      </c>
      <c r="G918" s="4"/>
      <c r="H918" s="4"/>
    </row>
    <row r="919" spans="1:10" s="20" customFormat="1">
      <c r="A919" s="4"/>
      <c r="B919" s="63" t="s">
        <v>117</v>
      </c>
      <c r="C919" s="16"/>
      <c r="D919" s="16"/>
      <c r="E919" s="16"/>
      <c r="F919" s="16">
        <f>SUM(F917:F918)</f>
        <v>694.28759611111127</v>
      </c>
      <c r="G919" s="4"/>
      <c r="H919" s="4"/>
    </row>
    <row r="920" spans="1:10" s="20" customFormat="1">
      <c r="A920" s="4"/>
      <c r="B920" s="45"/>
      <c r="C920" s="777"/>
      <c r="D920" s="777"/>
      <c r="E920" s="777" t="s">
        <v>120</v>
      </c>
      <c r="F920" s="777">
        <f>ROUND(F919,1)</f>
        <v>694.3</v>
      </c>
      <c r="G920" s="16"/>
      <c r="H920" s="4"/>
    </row>
    <row r="921" spans="1:10" s="149" customFormat="1">
      <c r="A921" s="5"/>
      <c r="B921" s="45"/>
      <c r="C921" s="787"/>
      <c r="D921" s="787"/>
      <c r="E921" s="787"/>
      <c r="F921" s="777"/>
      <c r="G921" s="121"/>
      <c r="H921" s="121"/>
      <c r="I921" s="121"/>
      <c r="J921" s="121"/>
    </row>
    <row r="922" spans="1:10" s="149" customFormat="1">
      <c r="A922" s="128">
        <v>31</v>
      </c>
      <c r="B922" s="129" t="s">
        <v>1007</v>
      </c>
      <c r="C922" s="16"/>
      <c r="D922" s="16"/>
      <c r="E922" s="16"/>
      <c r="F922" s="140"/>
      <c r="G922" s="121"/>
      <c r="H922" s="121"/>
      <c r="I922" s="121"/>
      <c r="J922" s="121"/>
    </row>
    <row r="923" spans="1:10" s="149" customFormat="1">
      <c r="B923" s="3" t="s">
        <v>1008</v>
      </c>
      <c r="C923" s="16"/>
      <c r="D923" s="16"/>
      <c r="E923" s="16"/>
      <c r="F923" s="140"/>
      <c r="G923" s="121"/>
      <c r="H923" s="121"/>
      <c r="I923" s="121"/>
      <c r="J923" s="121"/>
    </row>
    <row r="924" spans="1:10" s="149" customFormat="1">
      <c r="B924" s="15" t="s">
        <v>14</v>
      </c>
      <c r="C924" s="16"/>
      <c r="D924" s="16"/>
      <c r="E924" s="16"/>
      <c r="F924" s="16"/>
      <c r="G924" s="121"/>
      <c r="H924" s="121"/>
      <c r="I924" s="121"/>
      <c r="J924" s="121"/>
    </row>
    <row r="925" spans="1:10" s="149" customFormat="1">
      <c r="B925" s="99" t="s">
        <v>150</v>
      </c>
      <c r="C925" s="16"/>
      <c r="D925" s="16"/>
      <c r="E925" s="16"/>
      <c r="F925" s="16"/>
      <c r="G925" s="121"/>
      <c r="H925" s="121"/>
      <c r="I925" s="121"/>
      <c r="J925" s="121"/>
    </row>
    <row r="926" spans="1:10" s="149" customFormat="1">
      <c r="B926" s="15" t="s">
        <v>1009</v>
      </c>
      <c r="C926" s="16">
        <v>10</v>
      </c>
      <c r="D926" s="16" t="s">
        <v>32</v>
      </c>
      <c r="E926" s="16">
        <v>726</v>
      </c>
      <c r="F926" s="16">
        <f>E926*C926</f>
        <v>7260</v>
      </c>
      <c r="G926" s="121"/>
      <c r="H926" s="121"/>
      <c r="I926" s="121"/>
      <c r="J926" s="121"/>
    </row>
    <row r="927" spans="1:10" s="149" customFormat="1">
      <c r="B927" s="15" t="s">
        <v>33</v>
      </c>
      <c r="C927" s="134">
        <v>0.74399999999999999</v>
      </c>
      <c r="D927" s="96" t="s">
        <v>127</v>
      </c>
      <c r="E927" s="96">
        <f>Lead!E29</f>
        <v>650</v>
      </c>
      <c r="F927" s="96">
        <f>C927*E927</f>
        <v>483.6</v>
      </c>
      <c r="G927" s="121"/>
      <c r="H927" s="121"/>
      <c r="I927" s="121"/>
      <c r="J927" s="121"/>
    </row>
    <row r="928" spans="1:10" s="149" customFormat="1">
      <c r="B928" s="15" t="s">
        <v>162</v>
      </c>
      <c r="C928" s="96">
        <v>0.21</v>
      </c>
      <c r="D928" s="96" t="s">
        <v>123</v>
      </c>
      <c r="E928" s="96">
        <f>Lead!E20</f>
        <v>55</v>
      </c>
      <c r="F928" s="96">
        <f>C928*E928</f>
        <v>11.549999999999999</v>
      </c>
      <c r="G928" s="121"/>
      <c r="H928" s="121"/>
      <c r="I928" s="121"/>
      <c r="J928" s="121"/>
    </row>
    <row r="929" spans="2:10" s="149" customFormat="1">
      <c r="B929" s="15" t="s">
        <v>33</v>
      </c>
      <c r="C929" s="96">
        <v>0.33</v>
      </c>
      <c r="D929" s="96" t="s">
        <v>127</v>
      </c>
      <c r="E929" s="96">
        <f>E927</f>
        <v>650</v>
      </c>
      <c r="F929" s="96">
        <f>C929*E929</f>
        <v>214.5</v>
      </c>
      <c r="G929" s="121"/>
      <c r="H929" s="121"/>
      <c r="I929" s="121"/>
      <c r="J929" s="121"/>
    </row>
    <row r="930" spans="2:10" s="149" customFormat="1">
      <c r="B930" s="15" t="s">
        <v>332</v>
      </c>
      <c r="C930" s="96">
        <v>7.5999999999999998E-2</v>
      </c>
      <c r="D930" s="96" t="s">
        <v>127</v>
      </c>
      <c r="E930" s="96">
        <v>1925</v>
      </c>
      <c r="F930" s="96">
        <f>C930*E930</f>
        <v>146.29999999999998</v>
      </c>
      <c r="G930" s="121"/>
      <c r="H930" s="121"/>
      <c r="I930" s="121"/>
      <c r="J930" s="121"/>
    </row>
    <row r="931" spans="2:10" s="149" customFormat="1">
      <c r="B931" s="99" t="s">
        <v>152</v>
      </c>
      <c r="C931" s="16"/>
      <c r="D931" s="16"/>
      <c r="E931" s="16"/>
      <c r="F931" s="96"/>
      <c r="G931" s="121"/>
      <c r="H931" s="121"/>
      <c r="I931" s="121"/>
      <c r="J931" s="121"/>
    </row>
    <row r="932" spans="2:10" s="149" customFormat="1">
      <c r="B932" s="15" t="s">
        <v>155</v>
      </c>
      <c r="C932" s="96" t="s">
        <v>17</v>
      </c>
      <c r="D932" s="96" t="s">
        <v>114</v>
      </c>
      <c r="E932" s="96">
        <f>Lead!E64</f>
        <v>260</v>
      </c>
      <c r="F932" s="96">
        <f>C932*E932</f>
        <v>561.6</v>
      </c>
      <c r="G932" s="121"/>
      <c r="H932" s="121"/>
      <c r="I932" s="121"/>
      <c r="J932" s="121"/>
    </row>
    <row r="933" spans="2:10" s="149" customFormat="1">
      <c r="B933" s="15" t="s">
        <v>113</v>
      </c>
      <c r="C933" s="96" t="s">
        <v>17</v>
      </c>
      <c r="D933" s="96" t="s">
        <v>114</v>
      </c>
      <c r="E933" s="96">
        <f>Lead!E47</f>
        <v>200</v>
      </c>
      <c r="F933" s="96">
        <f>C933*E933</f>
        <v>432</v>
      </c>
      <c r="G933" s="121"/>
      <c r="H933" s="121"/>
      <c r="I933" s="121"/>
      <c r="J933" s="121"/>
    </row>
    <row r="934" spans="2:10" s="149" customFormat="1">
      <c r="B934" s="15" t="s">
        <v>658</v>
      </c>
      <c r="C934" s="16"/>
      <c r="D934" s="96" t="s">
        <v>116</v>
      </c>
      <c r="E934" s="96">
        <f>SUM(F926:F933)</f>
        <v>9109.5500000000011</v>
      </c>
      <c r="F934" s="96">
        <f>E934*0.15</f>
        <v>1366.4325000000001</v>
      </c>
      <c r="G934" s="121"/>
      <c r="H934" s="121"/>
      <c r="I934" s="121"/>
      <c r="J934" s="121"/>
    </row>
    <row r="935" spans="2:10" s="149" customFormat="1">
      <c r="B935" s="15" t="s">
        <v>117</v>
      </c>
      <c r="C935" s="16"/>
      <c r="D935" s="16"/>
      <c r="E935" s="16"/>
      <c r="F935" s="96">
        <f>SUM(F926:F934)</f>
        <v>10475.982500000002</v>
      </c>
      <c r="G935" s="121"/>
      <c r="H935" s="121"/>
      <c r="I935" s="121"/>
      <c r="J935" s="121"/>
    </row>
    <row r="936" spans="2:10" s="149" customFormat="1">
      <c r="B936" s="15" t="s">
        <v>60</v>
      </c>
      <c r="C936" s="16"/>
      <c r="D936" s="16"/>
      <c r="E936" s="16"/>
      <c r="F936" s="96">
        <f>F935/10</f>
        <v>1047.5982500000002</v>
      </c>
      <c r="G936" s="121"/>
      <c r="H936" s="121"/>
      <c r="I936" s="121"/>
      <c r="J936" s="121"/>
    </row>
    <row r="937" spans="2:10" s="149" customFormat="1">
      <c r="B937" s="99" t="s">
        <v>124</v>
      </c>
      <c r="C937" s="16"/>
      <c r="D937" s="16"/>
      <c r="E937" s="16"/>
      <c r="F937" s="96"/>
      <c r="G937" s="121"/>
      <c r="H937" s="121"/>
      <c r="I937" s="121"/>
      <c r="J937" s="121"/>
    </row>
    <row r="938" spans="2:10" s="149" customFormat="1">
      <c r="B938" s="15" t="s">
        <v>2</v>
      </c>
      <c r="C938" s="96">
        <v>1</v>
      </c>
      <c r="D938" s="96" t="s">
        <v>32</v>
      </c>
      <c r="E938" s="96">
        <f>1010.8/180</f>
        <v>5.615555555555555</v>
      </c>
      <c r="F938" s="96">
        <f>E938/C938</f>
        <v>5.615555555555555</v>
      </c>
      <c r="G938" s="121"/>
      <c r="H938" s="121"/>
      <c r="I938" s="121"/>
      <c r="J938" s="121"/>
    </row>
    <row r="939" spans="2:10" s="149" customFormat="1">
      <c r="B939" s="15" t="s">
        <v>151</v>
      </c>
      <c r="C939" s="96">
        <v>0.21</v>
      </c>
      <c r="D939" s="96" t="s">
        <v>123</v>
      </c>
      <c r="E939" s="96">
        <f>Lead!J20</f>
        <v>196.4</v>
      </c>
      <c r="F939" s="96">
        <f>E939*C939/10</f>
        <v>4.1243999999999996</v>
      </c>
      <c r="G939" s="121"/>
      <c r="H939" s="121"/>
      <c r="I939" s="121"/>
      <c r="J939" s="121"/>
    </row>
    <row r="940" spans="2:10" s="149" customFormat="1">
      <c r="B940" s="15" t="s">
        <v>33</v>
      </c>
      <c r="C940" s="96">
        <f>C927+C929+C930</f>
        <v>1.1500000000000001</v>
      </c>
      <c r="D940" s="96" t="s">
        <v>127</v>
      </c>
      <c r="E940" s="96">
        <f>Lead!J29</f>
        <v>16.899999999999999</v>
      </c>
      <c r="F940" s="96">
        <f>E940*C940/10</f>
        <v>1.9435000000000002</v>
      </c>
      <c r="G940" s="121"/>
      <c r="H940" s="121"/>
      <c r="I940" s="121"/>
      <c r="J940" s="121"/>
    </row>
    <row r="941" spans="2:10" s="149" customFormat="1">
      <c r="B941" s="15" t="s">
        <v>117</v>
      </c>
      <c r="C941" s="16"/>
      <c r="D941" s="16"/>
      <c r="E941" s="16"/>
      <c r="F941" s="96">
        <f>SUM(F936:F940)</f>
        <v>1059.2817055555558</v>
      </c>
      <c r="G941" s="121"/>
      <c r="H941" s="121"/>
      <c r="I941" s="121"/>
      <c r="J941" s="121"/>
    </row>
    <row r="942" spans="2:10" s="149" customFormat="1">
      <c r="B942" s="63" t="s">
        <v>493</v>
      </c>
      <c r="C942" s="138"/>
      <c r="D942" s="138"/>
      <c r="E942" s="138"/>
      <c r="F942" s="96">
        <f>F941*0.01</f>
        <v>10.592817055555559</v>
      </c>
      <c r="G942" s="121"/>
      <c r="H942" s="121"/>
      <c r="I942" s="121"/>
      <c r="J942" s="121"/>
    </row>
    <row r="943" spans="2:10" s="149" customFormat="1">
      <c r="B943" s="63" t="s">
        <v>117</v>
      </c>
      <c r="C943" s="138"/>
      <c r="D943" s="138"/>
      <c r="E943" s="138"/>
      <c r="F943" s="96">
        <f>SUM(F941:F942)</f>
        <v>1069.8745226111114</v>
      </c>
      <c r="G943" s="121"/>
      <c r="H943" s="121"/>
      <c r="I943" s="121"/>
      <c r="J943" s="121"/>
    </row>
    <row r="944" spans="2:10" s="149" customFormat="1">
      <c r="B944" s="45"/>
      <c r="C944" s="787"/>
      <c r="D944" s="787"/>
      <c r="E944" s="787" t="s">
        <v>120</v>
      </c>
      <c r="F944" s="777">
        <f>ROUND(F943,1)</f>
        <v>1069.9000000000001</v>
      </c>
      <c r="G944" s="121"/>
      <c r="H944" s="121"/>
      <c r="I944" s="121"/>
      <c r="J944" s="121"/>
    </row>
    <row r="945" spans="1:10" s="149" customFormat="1">
      <c r="B945" s="45"/>
      <c r="C945" s="787"/>
      <c r="D945" s="787"/>
      <c r="E945" s="787"/>
      <c r="F945" s="777"/>
      <c r="G945" s="121"/>
      <c r="H945" s="121"/>
      <c r="I945" s="121"/>
      <c r="J945" s="121"/>
    </row>
    <row r="946" spans="1:10" s="20" customFormat="1">
      <c r="A946" s="5" t="s">
        <v>38</v>
      </c>
      <c r="B946" s="64" t="s">
        <v>71</v>
      </c>
      <c r="C946" s="798"/>
      <c r="D946" s="798"/>
      <c r="E946" s="798"/>
      <c r="F946" s="798"/>
      <c r="G946" s="4"/>
      <c r="H946" s="4"/>
    </row>
    <row r="947" spans="1:10" s="20" customFormat="1">
      <c r="A947" s="5"/>
      <c r="B947" s="19" t="s">
        <v>333</v>
      </c>
      <c r="C947" s="57"/>
      <c r="D947" s="57"/>
      <c r="E947" s="57"/>
      <c r="F947" s="57">
        <f>F944</f>
        <v>1069.9000000000001</v>
      </c>
      <c r="G947" s="4"/>
      <c r="H947" s="4"/>
    </row>
    <row r="948" spans="1:10" s="20" customFormat="1">
      <c r="A948" s="5"/>
      <c r="B948" s="62" t="s">
        <v>280</v>
      </c>
      <c r="C948" s="57"/>
      <c r="D948" s="4"/>
      <c r="E948" s="57">
        <f>((F932+F933)+(F932+F933)*0.15)/10</f>
        <v>114.26400000000001</v>
      </c>
      <c r="F948" s="57">
        <f>E948*0.05</f>
        <v>5.7132000000000005</v>
      </c>
      <c r="G948" s="4"/>
      <c r="H948" s="4"/>
    </row>
    <row r="949" spans="1:10" s="20" customFormat="1">
      <c r="A949" s="5"/>
      <c r="B949" s="19" t="s">
        <v>117</v>
      </c>
      <c r="C949" s="57"/>
      <c r="D949" s="57"/>
      <c r="E949" s="57"/>
      <c r="F949" s="57">
        <f>SUM(F947:F948)</f>
        <v>1075.6132</v>
      </c>
      <c r="G949" s="4"/>
      <c r="H949" s="4"/>
    </row>
    <row r="950" spans="1:10" s="20" customFormat="1">
      <c r="A950" s="5"/>
      <c r="B950" s="45"/>
      <c r="C950" s="798"/>
      <c r="D950" s="798"/>
      <c r="E950" s="798" t="s">
        <v>120</v>
      </c>
      <c r="F950" s="798">
        <f>ROUND(F949,1)</f>
        <v>1075.5999999999999</v>
      </c>
      <c r="G950" s="4"/>
      <c r="H950" s="4"/>
    </row>
    <row r="951" spans="1:10" s="20" customFormat="1">
      <c r="A951" s="4" t="s">
        <v>39</v>
      </c>
      <c r="B951" s="19" t="s">
        <v>267</v>
      </c>
      <c r="C951" s="16"/>
      <c r="D951" s="16"/>
      <c r="E951" s="16"/>
      <c r="F951" s="16"/>
      <c r="G951" s="4"/>
      <c r="H951" s="4"/>
    </row>
    <row r="952" spans="1:10" s="20" customFormat="1">
      <c r="A952" s="4"/>
      <c r="B952" s="19" t="s">
        <v>278</v>
      </c>
      <c r="C952" s="16"/>
      <c r="D952" s="16"/>
      <c r="E952" s="16"/>
      <c r="F952" s="16">
        <f>F949</f>
        <v>1075.6132</v>
      </c>
      <c r="G952" s="4"/>
      <c r="H952" s="4"/>
    </row>
    <row r="953" spans="1:10" s="20" customFormat="1">
      <c r="A953" s="4"/>
      <c r="B953" s="62" t="s">
        <v>282</v>
      </c>
      <c r="C953" s="16"/>
      <c r="D953" s="16"/>
      <c r="E953" s="16">
        <f>E948+F948</f>
        <v>119.97720000000001</v>
      </c>
      <c r="F953" s="16">
        <f>E953*0.03</f>
        <v>3.599316</v>
      </c>
      <c r="G953" s="4"/>
      <c r="H953" s="4"/>
    </row>
    <row r="954" spans="1:10" s="20" customFormat="1">
      <c r="A954" s="4"/>
      <c r="B954" s="63" t="s">
        <v>117</v>
      </c>
      <c r="C954" s="16"/>
      <c r="D954" s="16"/>
      <c r="E954" s="16"/>
      <c r="F954" s="16">
        <f>SUM(F952:F953)</f>
        <v>1079.2125160000001</v>
      </c>
      <c r="G954" s="4"/>
      <c r="H954" s="4"/>
    </row>
    <row r="955" spans="1:10" s="20" customFormat="1">
      <c r="A955" s="4"/>
      <c r="B955" s="45"/>
      <c r="C955" s="777"/>
      <c r="D955" s="777"/>
      <c r="E955" s="777" t="s">
        <v>120</v>
      </c>
      <c r="F955" s="777">
        <f>ROUND(F954,1)</f>
        <v>1079.2</v>
      </c>
      <c r="G955" s="16"/>
      <c r="H955" s="4"/>
    </row>
    <row r="956" spans="1:10" s="149" customFormat="1">
      <c r="C956" s="121"/>
      <c r="D956" s="121"/>
      <c r="E956" s="121"/>
      <c r="F956" s="121"/>
      <c r="G956" s="121"/>
      <c r="H956" s="121"/>
      <c r="I956" s="121"/>
      <c r="J956" s="121"/>
    </row>
    <row r="957" spans="1:10" s="149" customFormat="1">
      <c r="A957" s="128">
        <v>32</v>
      </c>
      <c r="B957" s="45" t="s">
        <v>1049</v>
      </c>
      <c r="C957" s="787"/>
      <c r="D957" s="787"/>
      <c r="E957" s="787"/>
      <c r="F957" s="777"/>
      <c r="G957" s="121"/>
      <c r="H957" s="121"/>
      <c r="I957" s="121"/>
      <c r="J957" s="121"/>
    </row>
    <row r="958" spans="1:10" s="149" customFormat="1">
      <c r="B958" s="15" t="s">
        <v>14</v>
      </c>
      <c r="C958" s="4"/>
      <c r="D958" s="4"/>
      <c r="E958" s="4"/>
      <c r="F958" s="4"/>
      <c r="G958" s="121"/>
      <c r="H958" s="121"/>
      <c r="I958" s="121"/>
      <c r="J958" s="121"/>
    </row>
    <row r="959" spans="1:10" s="149" customFormat="1">
      <c r="B959" s="99" t="s">
        <v>150</v>
      </c>
      <c r="C959" s="4"/>
      <c r="D959" s="4"/>
      <c r="E959" s="4"/>
      <c r="F959" s="4"/>
      <c r="G959" s="121"/>
      <c r="H959" s="121"/>
      <c r="I959" s="121"/>
      <c r="J959" s="121"/>
    </row>
    <row r="960" spans="1:10" s="149" customFormat="1">
      <c r="B960" s="15" t="s">
        <v>33</v>
      </c>
      <c r="C960" s="138">
        <v>0.71499999999999997</v>
      </c>
      <c r="D960" s="138" t="s">
        <v>127</v>
      </c>
      <c r="E960" s="96">
        <f>Lead!E29</f>
        <v>650</v>
      </c>
      <c r="F960" s="785">
        <f>C960*E960</f>
        <v>464.75</v>
      </c>
      <c r="G960" s="121"/>
      <c r="H960" s="121"/>
      <c r="I960" s="121"/>
      <c r="J960" s="121"/>
    </row>
    <row r="961" spans="2:10" s="149" customFormat="1">
      <c r="B961" s="15" t="s">
        <v>162</v>
      </c>
      <c r="C961" s="138">
        <v>0.15</v>
      </c>
      <c r="D961" s="138" t="s">
        <v>123</v>
      </c>
      <c r="E961" s="96">
        <f>Lead!E20</f>
        <v>55</v>
      </c>
      <c r="F961" s="785">
        <f>C961*E961</f>
        <v>8.25</v>
      </c>
      <c r="G961" s="121"/>
      <c r="H961" s="121"/>
      <c r="I961" s="121"/>
      <c r="J961" s="121"/>
    </row>
    <row r="962" spans="2:10" s="149" customFormat="1">
      <c r="B962" s="15" t="s">
        <v>33</v>
      </c>
      <c r="C962" s="138">
        <v>0.66</v>
      </c>
      <c r="D962" s="138" t="s">
        <v>127</v>
      </c>
      <c r="E962" s="96">
        <f>E960</f>
        <v>650</v>
      </c>
      <c r="F962" s="785">
        <f>C962*E962</f>
        <v>429</v>
      </c>
      <c r="G962" s="121"/>
      <c r="H962" s="121"/>
      <c r="I962" s="121"/>
      <c r="J962" s="121"/>
    </row>
    <row r="963" spans="2:10" s="149" customFormat="1">
      <c r="B963" s="99" t="s">
        <v>152</v>
      </c>
      <c r="C963" s="4"/>
      <c r="D963" s="4"/>
      <c r="E963" s="16"/>
      <c r="F963" s="785"/>
      <c r="G963" s="121"/>
      <c r="H963" s="121"/>
      <c r="I963" s="121"/>
      <c r="J963" s="121"/>
    </row>
    <row r="964" spans="2:10" s="149" customFormat="1">
      <c r="B964" s="15" t="s">
        <v>155</v>
      </c>
      <c r="C964" s="138">
        <v>3.25</v>
      </c>
      <c r="D964" s="138" t="s">
        <v>114</v>
      </c>
      <c r="E964" s="96">
        <f>Lead!E64</f>
        <v>260</v>
      </c>
      <c r="F964" s="785">
        <f>C964*E964</f>
        <v>845</v>
      </c>
      <c r="G964" s="121"/>
      <c r="H964" s="121"/>
      <c r="I964" s="121"/>
      <c r="J964" s="121"/>
    </row>
    <row r="965" spans="2:10" s="149" customFormat="1">
      <c r="B965" s="15" t="s">
        <v>113</v>
      </c>
      <c r="C965" s="138">
        <v>3.25</v>
      </c>
      <c r="D965" s="138" t="s">
        <v>114</v>
      </c>
      <c r="E965" s="96">
        <f>Lead!E47</f>
        <v>200</v>
      </c>
      <c r="F965" s="785">
        <f>C965*E965</f>
        <v>650</v>
      </c>
      <c r="G965" s="121"/>
      <c r="H965" s="121"/>
      <c r="I965" s="121"/>
      <c r="J965" s="121"/>
    </row>
    <row r="966" spans="2:10" s="149" customFormat="1">
      <c r="B966" s="15" t="s">
        <v>658</v>
      </c>
      <c r="C966" s="4"/>
      <c r="D966" s="138" t="s">
        <v>116</v>
      </c>
      <c r="E966" s="785">
        <f>SUM(F960:F965)</f>
        <v>2397</v>
      </c>
      <c r="F966" s="785">
        <f>E966*0.15</f>
        <v>359.55</v>
      </c>
      <c r="G966" s="121"/>
      <c r="H966" s="121"/>
      <c r="I966" s="121"/>
      <c r="J966" s="121"/>
    </row>
    <row r="967" spans="2:10" s="149" customFormat="1">
      <c r="B967" s="15" t="s">
        <v>117</v>
      </c>
      <c r="C967" s="4"/>
      <c r="D967" s="4"/>
      <c r="E967" s="4"/>
      <c r="F967" s="785">
        <f>SUM(F960:F966)</f>
        <v>2756.55</v>
      </c>
      <c r="G967" s="121"/>
      <c r="H967" s="121"/>
      <c r="I967" s="121"/>
      <c r="J967" s="121"/>
    </row>
    <row r="968" spans="2:10" s="149" customFormat="1">
      <c r="B968" s="15" t="s">
        <v>60</v>
      </c>
      <c r="C968" s="4"/>
      <c r="D968" s="4"/>
      <c r="E968" s="4"/>
      <c r="F968" s="785">
        <f>F967/10</f>
        <v>275.65500000000003</v>
      </c>
      <c r="G968" s="121"/>
      <c r="H968" s="121"/>
      <c r="I968" s="121"/>
      <c r="J968" s="121"/>
    </row>
    <row r="969" spans="2:10" s="149" customFormat="1">
      <c r="B969" s="15" t="s">
        <v>296</v>
      </c>
      <c r="C969" s="138" t="s">
        <v>112</v>
      </c>
      <c r="D969" s="138" t="s">
        <v>161</v>
      </c>
      <c r="E969" s="96">
        <f>E926</f>
        <v>726</v>
      </c>
      <c r="F969" s="785">
        <f>C969*E969</f>
        <v>726</v>
      </c>
      <c r="G969" s="121"/>
      <c r="H969" s="121"/>
      <c r="I969" s="121"/>
      <c r="J969" s="121"/>
    </row>
    <row r="970" spans="2:10" s="149" customFormat="1">
      <c r="B970" s="99" t="s">
        <v>124</v>
      </c>
      <c r="C970" s="4"/>
      <c r="D970" s="4"/>
      <c r="E970" s="4"/>
      <c r="F970" s="785"/>
      <c r="G970" s="121"/>
      <c r="H970" s="121"/>
      <c r="I970" s="121"/>
      <c r="J970" s="121"/>
    </row>
    <row r="971" spans="2:10" s="149" customFormat="1">
      <c r="B971" s="15" t="s">
        <v>2</v>
      </c>
      <c r="C971" s="138">
        <v>1</v>
      </c>
      <c r="D971" s="138" t="s">
        <v>32</v>
      </c>
      <c r="E971" s="96">
        <f>1010.8/180</f>
        <v>5.615555555555555</v>
      </c>
      <c r="F971" s="785">
        <f>E971/C971</f>
        <v>5.615555555555555</v>
      </c>
      <c r="G971" s="121"/>
      <c r="H971" s="121"/>
      <c r="I971" s="121"/>
      <c r="J971" s="121"/>
    </row>
    <row r="972" spans="2:10" s="149" customFormat="1">
      <c r="B972" s="15" t="s">
        <v>151</v>
      </c>
      <c r="C972" s="138">
        <v>0.15</v>
      </c>
      <c r="D972" s="138" t="s">
        <v>123</v>
      </c>
      <c r="E972" s="96">
        <f>Lead!J20</f>
        <v>196.4</v>
      </c>
      <c r="F972" s="785">
        <f>E972*C972/10</f>
        <v>2.9460000000000002</v>
      </c>
      <c r="G972" s="121"/>
      <c r="H972" s="121"/>
      <c r="I972" s="121"/>
      <c r="J972" s="121"/>
    </row>
    <row r="973" spans="2:10" s="149" customFormat="1">
      <c r="B973" s="15" t="s">
        <v>33</v>
      </c>
      <c r="C973" s="138">
        <f>C960+C962</f>
        <v>1.375</v>
      </c>
      <c r="D973" s="138" t="s">
        <v>127</v>
      </c>
      <c r="E973" s="96">
        <f>Lead!J29</f>
        <v>16.899999999999999</v>
      </c>
      <c r="F973" s="785">
        <f>E973*C973/10</f>
        <v>2.3237499999999995</v>
      </c>
      <c r="G973" s="121"/>
      <c r="H973" s="121"/>
      <c r="I973" s="121"/>
      <c r="J973" s="121"/>
    </row>
    <row r="974" spans="2:10" s="149" customFormat="1">
      <c r="B974" s="15" t="s">
        <v>117</v>
      </c>
      <c r="C974" s="4"/>
      <c r="D974" s="4"/>
      <c r="E974" s="4"/>
      <c r="F974" s="785">
        <f>SUM(F968:F973)</f>
        <v>1012.5403055555556</v>
      </c>
      <c r="G974" s="121"/>
      <c r="H974" s="121"/>
      <c r="I974" s="121"/>
      <c r="J974" s="121"/>
    </row>
    <row r="975" spans="2:10" s="149" customFormat="1">
      <c r="B975" s="63" t="s">
        <v>493</v>
      </c>
      <c r="C975" s="138"/>
      <c r="D975" s="138"/>
      <c r="E975" s="138"/>
      <c r="F975" s="785">
        <f>F974*0.01</f>
        <v>10.125403055555557</v>
      </c>
      <c r="G975" s="121"/>
      <c r="H975" s="121"/>
      <c r="I975" s="121"/>
      <c r="J975" s="121"/>
    </row>
    <row r="976" spans="2:10" s="149" customFormat="1">
      <c r="B976" s="63" t="s">
        <v>117</v>
      </c>
      <c r="C976" s="138"/>
      <c r="D976" s="138"/>
      <c r="E976" s="138"/>
      <c r="F976" s="785">
        <f>SUM(F974:F975)</f>
        <v>1022.6657086111112</v>
      </c>
      <c r="G976" s="121"/>
      <c r="H976" s="121"/>
      <c r="I976" s="121"/>
      <c r="J976" s="121"/>
    </row>
    <row r="977" spans="1:10" s="149" customFormat="1">
      <c r="B977" s="45"/>
      <c r="C977" s="787"/>
      <c r="D977" s="787"/>
      <c r="E977" s="787" t="s">
        <v>120</v>
      </c>
      <c r="F977" s="777">
        <f>ROUND(F976,1)</f>
        <v>1022.7</v>
      </c>
      <c r="G977" s="121"/>
      <c r="H977" s="121"/>
      <c r="I977" s="121"/>
      <c r="J977" s="121"/>
    </row>
    <row r="978" spans="1:10" s="20" customFormat="1">
      <c r="A978" s="5" t="s">
        <v>38</v>
      </c>
      <c r="B978" s="64" t="s">
        <v>71</v>
      </c>
      <c r="C978" s="787"/>
      <c r="D978" s="787"/>
      <c r="E978" s="787"/>
      <c r="F978" s="777"/>
      <c r="G978" s="16"/>
      <c r="H978" s="4"/>
    </row>
    <row r="979" spans="1:10" s="20" customFormat="1">
      <c r="A979" s="5"/>
      <c r="B979" s="19" t="s">
        <v>333</v>
      </c>
      <c r="C979" s="16"/>
      <c r="D979" s="16"/>
      <c r="E979" s="16"/>
      <c r="F979" s="16">
        <f>F976</f>
        <v>1022.6657086111112</v>
      </c>
      <c r="G979" s="16"/>
      <c r="H979" s="4"/>
    </row>
    <row r="980" spans="1:10" s="20" customFormat="1" ht="25.5">
      <c r="A980" s="5"/>
      <c r="B980" s="62" t="s">
        <v>334</v>
      </c>
      <c r="C980" s="16"/>
      <c r="D980" s="96"/>
      <c r="E980" s="16">
        <f>((F964+F965)+(F964+F965)*0.15)/10</f>
        <v>171.92500000000001</v>
      </c>
      <c r="F980" s="16">
        <f>E980*0.05</f>
        <v>8.5962500000000013</v>
      </c>
      <c r="G980" s="16"/>
      <c r="H980" s="4"/>
    </row>
    <row r="981" spans="1:10" s="20" customFormat="1">
      <c r="A981" s="5"/>
      <c r="B981" s="19" t="s">
        <v>117</v>
      </c>
      <c r="C981" s="16"/>
      <c r="D981" s="16"/>
      <c r="E981" s="16"/>
      <c r="F981" s="16">
        <f>SUM(F979:F980)</f>
        <v>1031.2619586111111</v>
      </c>
      <c r="G981" s="16"/>
      <c r="H981" s="4"/>
    </row>
    <row r="982" spans="1:10" s="20" customFormat="1">
      <c r="A982" s="5"/>
      <c r="B982" s="45"/>
      <c r="C982" s="777"/>
      <c r="D982" s="777"/>
      <c r="E982" s="777" t="s">
        <v>120</v>
      </c>
      <c r="F982" s="777">
        <f>ROUND(F981,1)</f>
        <v>1031.3</v>
      </c>
      <c r="G982" s="16"/>
      <c r="H982" s="4"/>
    </row>
    <row r="983" spans="1:10" s="20" customFormat="1">
      <c r="A983" s="5" t="s">
        <v>39</v>
      </c>
      <c r="B983" s="64" t="s">
        <v>267</v>
      </c>
      <c r="C983" s="787"/>
      <c r="D983" s="787"/>
      <c r="E983" s="787"/>
      <c r="F983" s="777"/>
      <c r="G983" s="16"/>
      <c r="H983" s="4"/>
    </row>
    <row r="984" spans="1:10" s="20" customFormat="1">
      <c r="A984" s="5"/>
      <c r="B984" s="19" t="s">
        <v>335</v>
      </c>
      <c r="C984" s="16"/>
      <c r="D984" s="16"/>
      <c r="E984" s="16"/>
      <c r="F984" s="16">
        <f>F981</f>
        <v>1031.2619586111111</v>
      </c>
      <c r="G984" s="16"/>
      <c r="H984" s="4"/>
    </row>
    <row r="985" spans="1:10" s="20" customFormat="1" ht="25.5">
      <c r="A985" s="5"/>
      <c r="B985" s="62" t="s">
        <v>336</v>
      </c>
      <c r="C985" s="16"/>
      <c r="D985" s="16"/>
      <c r="E985" s="16">
        <f>E980+F980</f>
        <v>180.52125000000001</v>
      </c>
      <c r="F985" s="16">
        <f>E985*0.05</f>
        <v>9.0260625000000001</v>
      </c>
      <c r="G985" s="16"/>
      <c r="H985" s="4"/>
    </row>
    <row r="986" spans="1:10" s="20" customFormat="1">
      <c r="A986" s="5"/>
      <c r="B986" s="19" t="s">
        <v>117</v>
      </c>
      <c r="C986" s="16"/>
      <c r="D986" s="16"/>
      <c r="E986" s="16"/>
      <c r="F986" s="16">
        <f>SUM(F984:F985)</f>
        <v>1040.2880211111112</v>
      </c>
      <c r="G986" s="16"/>
      <c r="H986" s="4"/>
    </row>
    <row r="987" spans="1:10" s="20" customFormat="1">
      <c r="A987" s="5"/>
      <c r="B987" s="45"/>
      <c r="C987" s="777"/>
      <c r="D987" s="777"/>
      <c r="E987" s="777" t="s">
        <v>120</v>
      </c>
      <c r="F987" s="777">
        <f>ROUND(F986,1)</f>
        <v>1040.3</v>
      </c>
      <c r="G987" s="16"/>
      <c r="H987" s="4"/>
    </row>
    <row r="988" spans="1:10" s="149" customFormat="1">
      <c r="C988" s="121"/>
      <c r="D988" s="121"/>
      <c r="E988" s="121"/>
      <c r="F988" s="121"/>
      <c r="G988" s="121"/>
      <c r="H988" s="121"/>
      <c r="I988" s="121"/>
      <c r="J988" s="121"/>
    </row>
    <row r="989" spans="1:10" s="20" customFormat="1" ht="76.5" hidden="1">
      <c r="A989" s="128">
        <v>34</v>
      </c>
      <c r="B989" s="129" t="s">
        <v>1060</v>
      </c>
      <c r="C989" s="4"/>
      <c r="D989" s="4" t="s">
        <v>165</v>
      </c>
      <c r="E989" s="4"/>
      <c r="F989" s="4"/>
      <c r="G989" s="4"/>
      <c r="H989" s="4"/>
    </row>
    <row r="990" spans="1:10" s="20" customFormat="1" hidden="1">
      <c r="A990" s="5"/>
      <c r="B990" s="3" t="s">
        <v>14</v>
      </c>
      <c r="C990" s="4"/>
      <c r="D990" s="4"/>
      <c r="E990" s="4"/>
      <c r="F990" s="4"/>
      <c r="G990" s="4"/>
      <c r="H990" s="4"/>
    </row>
    <row r="991" spans="1:10" s="20" customFormat="1" hidden="1">
      <c r="A991" s="5"/>
      <c r="B991" s="129" t="s">
        <v>150</v>
      </c>
      <c r="C991" s="4"/>
      <c r="D991" s="4"/>
      <c r="E991" s="4"/>
      <c r="F991" s="4"/>
      <c r="G991" s="4"/>
      <c r="H991" s="4"/>
    </row>
    <row r="992" spans="1:10" s="20" customFormat="1" hidden="1">
      <c r="A992" s="5"/>
      <c r="B992" s="3" t="s">
        <v>33</v>
      </c>
      <c r="C992" s="4">
        <v>0.71499999999999997</v>
      </c>
      <c r="D992" s="4" t="s">
        <v>127</v>
      </c>
      <c r="E992" s="16">
        <f>Lead!E29</f>
        <v>650</v>
      </c>
      <c r="F992" s="59">
        <f>C992*E992</f>
        <v>464.75</v>
      </c>
      <c r="G992" s="4"/>
      <c r="H992" s="4"/>
    </row>
    <row r="993" spans="1:12" s="20" customFormat="1" hidden="1">
      <c r="A993" s="5"/>
      <c r="B993" s="3" t="s">
        <v>162</v>
      </c>
      <c r="C993" s="4">
        <v>0.15</v>
      </c>
      <c r="D993" s="4" t="s">
        <v>123</v>
      </c>
      <c r="E993" s="16">
        <f>Lead!E20</f>
        <v>55</v>
      </c>
      <c r="F993" s="59">
        <f>C993*E993</f>
        <v>8.25</v>
      </c>
      <c r="G993" s="4"/>
      <c r="H993" s="4"/>
    </row>
    <row r="994" spans="1:12" s="20" customFormat="1" hidden="1">
      <c r="A994" s="5"/>
      <c r="B994" s="3" t="s">
        <v>33</v>
      </c>
      <c r="C994" s="4">
        <v>0.66</v>
      </c>
      <c r="D994" s="4" t="s">
        <v>127</v>
      </c>
      <c r="E994" s="16">
        <f>E992</f>
        <v>650</v>
      </c>
      <c r="F994" s="59">
        <f>C994*E994</f>
        <v>429</v>
      </c>
      <c r="G994" s="4"/>
      <c r="H994" s="4"/>
      <c r="I994" s="116"/>
      <c r="K994" s="50"/>
      <c r="L994" s="50"/>
    </row>
    <row r="995" spans="1:12" s="20" customFormat="1" hidden="1">
      <c r="A995" s="5"/>
      <c r="B995" s="129" t="s">
        <v>152</v>
      </c>
      <c r="C995" s="4"/>
      <c r="D995" s="4"/>
      <c r="E995" s="16"/>
      <c r="F995" s="59"/>
      <c r="G995" s="4"/>
      <c r="H995" s="4"/>
      <c r="I995" s="50"/>
      <c r="K995" s="50"/>
      <c r="L995" s="50"/>
    </row>
    <row r="996" spans="1:12" s="20" customFormat="1" hidden="1">
      <c r="A996" s="5"/>
      <c r="B996" s="3" t="s">
        <v>155</v>
      </c>
      <c r="C996" s="4">
        <v>3.25</v>
      </c>
      <c r="D996" s="4" t="s">
        <v>114</v>
      </c>
      <c r="E996" s="16">
        <f>Lead!E64</f>
        <v>260</v>
      </c>
      <c r="F996" s="59">
        <f>C996*E996</f>
        <v>845</v>
      </c>
      <c r="G996" s="4"/>
      <c r="H996" s="4"/>
      <c r="K996" s="50"/>
      <c r="L996" s="50"/>
    </row>
    <row r="997" spans="1:12" s="20" customFormat="1" hidden="1">
      <c r="A997" s="5"/>
      <c r="B997" s="3" t="s">
        <v>113</v>
      </c>
      <c r="C997" s="4">
        <v>3.25</v>
      </c>
      <c r="D997" s="4" t="s">
        <v>114</v>
      </c>
      <c r="E997" s="16">
        <f>Lead!E47</f>
        <v>200</v>
      </c>
      <c r="F997" s="59">
        <f>C997*E997</f>
        <v>650</v>
      </c>
      <c r="G997" s="4"/>
      <c r="H997" s="4"/>
      <c r="I997" s="50"/>
      <c r="K997" s="50"/>
      <c r="L997" s="50"/>
    </row>
    <row r="998" spans="1:12" s="20" customFormat="1" hidden="1">
      <c r="A998" s="5"/>
      <c r="B998" s="3" t="s">
        <v>1061</v>
      </c>
      <c r="C998" s="4"/>
      <c r="D998" s="4" t="s">
        <v>116</v>
      </c>
      <c r="E998" s="59">
        <f>SUM(F992:F997)</f>
        <v>2397</v>
      </c>
      <c r="F998" s="59">
        <f>E998*0.15</f>
        <v>359.55</v>
      </c>
      <c r="G998" s="4"/>
      <c r="H998" s="4"/>
      <c r="I998" s="50"/>
      <c r="K998" s="50"/>
      <c r="L998" s="50"/>
    </row>
    <row r="999" spans="1:12" s="20" customFormat="1" hidden="1">
      <c r="A999" s="5"/>
      <c r="B999" s="3" t="s">
        <v>117</v>
      </c>
      <c r="C999" s="4"/>
      <c r="D999" s="4"/>
      <c r="E999" s="4"/>
      <c r="F999" s="59">
        <f>SUM(F992:F998)</f>
        <v>2756.55</v>
      </c>
      <c r="G999" s="4"/>
      <c r="H999" s="4"/>
      <c r="I999" s="50"/>
      <c r="K999" s="50"/>
      <c r="L999" s="50"/>
    </row>
    <row r="1000" spans="1:12" s="20" customFormat="1" hidden="1">
      <c r="A1000" s="5"/>
      <c r="B1000" s="3" t="s">
        <v>60</v>
      </c>
      <c r="C1000" s="4"/>
      <c r="D1000" s="4"/>
      <c r="E1000" s="4"/>
      <c r="F1000" s="59">
        <f>F999/10</f>
        <v>275.65500000000003</v>
      </c>
      <c r="G1000" s="4"/>
      <c r="H1000" s="4"/>
      <c r="L1000" s="50"/>
    </row>
    <row r="1001" spans="1:12" s="20" customFormat="1" hidden="1">
      <c r="A1001" s="5"/>
      <c r="B1001" s="3" t="s">
        <v>296</v>
      </c>
      <c r="C1001" s="4">
        <v>1</v>
      </c>
      <c r="D1001" s="4" t="s">
        <v>161</v>
      </c>
      <c r="E1001" s="16">
        <f>E969</f>
        <v>726</v>
      </c>
      <c r="F1001" s="59">
        <f>C1001*E1001</f>
        <v>726</v>
      </c>
      <c r="G1001" s="4"/>
      <c r="H1001" s="4"/>
      <c r="L1001" s="50"/>
    </row>
    <row r="1002" spans="1:12" s="20" customFormat="1" hidden="1">
      <c r="A1002" s="5"/>
      <c r="B1002" s="129" t="s">
        <v>124</v>
      </c>
      <c r="C1002" s="4"/>
      <c r="D1002" s="4"/>
      <c r="E1002" s="4"/>
      <c r="F1002" s="59"/>
      <c r="G1002" s="4"/>
      <c r="H1002" s="4"/>
      <c r="L1002" s="50"/>
    </row>
    <row r="1003" spans="1:12" s="20" customFormat="1" hidden="1">
      <c r="A1003" s="5"/>
      <c r="B1003" s="3" t="s">
        <v>2</v>
      </c>
      <c r="C1003" s="4">
        <v>180</v>
      </c>
      <c r="D1003" s="4" t="s">
        <v>88</v>
      </c>
      <c r="E1003" s="16">
        <f>E971</f>
        <v>5.615555555555555</v>
      </c>
      <c r="F1003" s="59">
        <f>E1003/C1003</f>
        <v>3.1197530864197527E-2</v>
      </c>
      <c r="G1003" s="4"/>
      <c r="H1003" s="4"/>
      <c r="I1003" s="50"/>
      <c r="K1003" s="50"/>
      <c r="L1003" s="50"/>
    </row>
    <row r="1004" spans="1:12" s="20" customFormat="1" hidden="1">
      <c r="A1004" s="5"/>
      <c r="B1004" s="3" t="s">
        <v>151</v>
      </c>
      <c r="C1004" s="4">
        <v>0.15</v>
      </c>
      <c r="D1004" s="4" t="s">
        <v>123</v>
      </c>
      <c r="E1004" s="16">
        <f>Lead!J20</f>
        <v>196.4</v>
      </c>
      <c r="F1004" s="59">
        <f>E1004*C1004/10</f>
        <v>2.9460000000000002</v>
      </c>
      <c r="G1004" s="4"/>
      <c r="H1004" s="4"/>
      <c r="I1004" s="116"/>
      <c r="K1004" s="50"/>
      <c r="L1004" s="50"/>
    </row>
    <row r="1005" spans="1:12" s="20" customFormat="1" hidden="1">
      <c r="A1005" s="5"/>
      <c r="B1005" s="3" t="s">
        <v>33</v>
      </c>
      <c r="C1005" s="4">
        <v>1.375</v>
      </c>
      <c r="D1005" s="4" t="s">
        <v>127</v>
      </c>
      <c r="E1005" s="16">
        <f>Lead!J29</f>
        <v>16.899999999999999</v>
      </c>
      <c r="F1005" s="59">
        <f>E1005*C1005/10</f>
        <v>2.3237499999999995</v>
      </c>
      <c r="G1005" s="4"/>
      <c r="H1005" s="4"/>
      <c r="I1005" s="116"/>
      <c r="K1005" s="50"/>
      <c r="L1005" s="50"/>
    </row>
    <row r="1006" spans="1:12" s="20" customFormat="1" hidden="1">
      <c r="A1006" s="5"/>
      <c r="B1006" s="3" t="s">
        <v>117</v>
      </c>
      <c r="C1006" s="4"/>
      <c r="D1006" s="4"/>
      <c r="E1006" s="4"/>
      <c r="F1006" s="59">
        <f>SUM(F1000:F1005)</f>
        <v>1006.9559475308643</v>
      </c>
      <c r="G1006" s="4"/>
      <c r="H1006" s="4"/>
      <c r="I1006" s="116"/>
      <c r="K1006" s="50"/>
      <c r="L1006" s="50"/>
    </row>
    <row r="1007" spans="1:12" s="20" customFormat="1" hidden="1">
      <c r="A1007" s="5"/>
      <c r="B1007" s="371" t="s">
        <v>493</v>
      </c>
      <c r="C1007" s="4"/>
      <c r="D1007" s="4"/>
      <c r="E1007" s="4"/>
      <c r="F1007" s="59">
        <f>F1006*0.01</f>
        <v>10.069559475308642</v>
      </c>
      <c r="G1007" s="4"/>
      <c r="H1007" s="4"/>
      <c r="I1007" s="116"/>
      <c r="K1007" s="50"/>
      <c r="L1007" s="50"/>
    </row>
    <row r="1008" spans="1:12" s="20" customFormat="1" hidden="1">
      <c r="A1008" s="5"/>
      <c r="B1008" s="371" t="s">
        <v>117</v>
      </c>
      <c r="C1008" s="4"/>
      <c r="D1008" s="4"/>
      <c r="E1008" s="4"/>
      <c r="F1008" s="59">
        <f>SUM(F1006:F1007)</f>
        <v>1017.0255070061729</v>
      </c>
      <c r="G1008" s="4"/>
      <c r="H1008" s="4"/>
      <c r="L1008" s="50"/>
    </row>
    <row r="1009" spans="1:12" s="20" customFormat="1" hidden="1">
      <c r="A1009" s="5"/>
      <c r="B1009" s="131"/>
      <c r="C1009" s="135"/>
      <c r="D1009" s="135"/>
      <c r="E1009" s="135" t="s">
        <v>120</v>
      </c>
      <c r="F1009" s="140">
        <f>ROUND(F1008,1)</f>
        <v>1017</v>
      </c>
      <c r="G1009" s="4"/>
      <c r="H1009" s="4"/>
      <c r="L1009" s="50"/>
    </row>
    <row r="1010" spans="1:12" s="20" customFormat="1" hidden="1">
      <c r="A1010" s="128" t="s">
        <v>38</v>
      </c>
      <c r="B1010" s="131" t="s">
        <v>71</v>
      </c>
      <c r="C1010" s="135"/>
      <c r="D1010" s="135"/>
      <c r="E1010" s="135"/>
      <c r="F1010" s="140"/>
      <c r="G1010" s="4"/>
      <c r="H1010" s="4"/>
    </row>
    <row r="1011" spans="1:12" s="20" customFormat="1" hidden="1">
      <c r="A1011" s="5"/>
      <c r="B1011" s="19" t="s">
        <v>333</v>
      </c>
      <c r="C1011" s="16"/>
      <c r="D1011" s="16"/>
      <c r="E1011" s="16"/>
      <c r="F1011" s="16">
        <f>F1008</f>
        <v>1017.0255070061729</v>
      </c>
      <c r="G1011" s="4"/>
      <c r="H1011" s="4"/>
    </row>
    <row r="1012" spans="1:12" s="20" customFormat="1" ht="25.5" hidden="1">
      <c r="A1012" s="5"/>
      <c r="B1012" s="30" t="s">
        <v>334</v>
      </c>
      <c r="C1012" s="16"/>
      <c r="D1012" s="16"/>
      <c r="E1012" s="16">
        <f>((F996+F997)+(F996+F997)*0.15)/10</f>
        <v>171.92500000000001</v>
      </c>
      <c r="F1012" s="16">
        <f>E1012*0.05</f>
        <v>8.5962500000000013</v>
      </c>
      <c r="G1012" s="4"/>
      <c r="H1012" s="4"/>
    </row>
    <row r="1013" spans="1:12" s="20" customFormat="1" hidden="1">
      <c r="A1013" s="5"/>
      <c r="B1013" s="19" t="s">
        <v>117</v>
      </c>
      <c r="C1013" s="16"/>
      <c r="D1013" s="16"/>
      <c r="E1013" s="16"/>
      <c r="F1013" s="16">
        <f>SUM(F1011:F1012)</f>
        <v>1025.6217570061729</v>
      </c>
      <c r="G1013" s="4"/>
      <c r="H1013" s="4"/>
    </row>
    <row r="1014" spans="1:12" s="20" customFormat="1" hidden="1">
      <c r="A1014" s="5"/>
      <c r="B1014" s="131"/>
      <c r="C1014" s="140"/>
      <c r="D1014" s="140"/>
      <c r="E1014" s="140" t="s">
        <v>120</v>
      </c>
      <c r="F1014" s="140">
        <f>ROUND(F1013,1)</f>
        <v>1025.5999999999999</v>
      </c>
      <c r="G1014" s="4"/>
      <c r="H1014" s="4"/>
    </row>
    <row r="1015" spans="1:12" s="20" customFormat="1" hidden="1">
      <c r="A1015" s="128" t="s">
        <v>39</v>
      </c>
      <c r="B1015" s="131" t="s">
        <v>267</v>
      </c>
      <c r="C1015" s="135"/>
      <c r="D1015" s="135"/>
      <c r="E1015" s="135"/>
      <c r="F1015" s="140"/>
      <c r="G1015" s="4"/>
      <c r="H1015" s="4"/>
    </row>
    <row r="1016" spans="1:12" s="20" customFormat="1" hidden="1">
      <c r="A1016" s="5"/>
      <c r="B1016" s="19" t="s">
        <v>335</v>
      </c>
      <c r="C1016" s="16"/>
      <c r="D1016" s="16"/>
      <c r="E1016" s="16"/>
      <c r="F1016" s="16">
        <f>F1013</f>
        <v>1025.6217570061729</v>
      </c>
      <c r="G1016" s="4"/>
      <c r="H1016" s="4"/>
    </row>
    <row r="1017" spans="1:12" s="20" customFormat="1" ht="25.5" hidden="1">
      <c r="A1017" s="5"/>
      <c r="B1017" s="30" t="s">
        <v>336</v>
      </c>
      <c r="C1017" s="16"/>
      <c r="D1017" s="16"/>
      <c r="E1017" s="16">
        <f>E1012+F1012</f>
        <v>180.52125000000001</v>
      </c>
      <c r="F1017" s="16">
        <f>E1017*0.05</f>
        <v>9.0260625000000001</v>
      </c>
      <c r="G1017" s="4"/>
      <c r="H1017" s="4"/>
    </row>
    <row r="1018" spans="1:12" s="20" customFormat="1" hidden="1">
      <c r="A1018" s="5"/>
      <c r="B1018" s="19" t="s">
        <v>117</v>
      </c>
      <c r="C1018" s="16"/>
      <c r="D1018" s="16"/>
      <c r="E1018" s="16"/>
      <c r="F1018" s="16">
        <f>SUM(F1016:F1017)</f>
        <v>1034.6478195061729</v>
      </c>
      <c r="G1018" s="4"/>
      <c r="H1018" s="4"/>
    </row>
    <row r="1019" spans="1:12" s="20" customFormat="1" hidden="1">
      <c r="A1019" s="5"/>
      <c r="B1019" s="131"/>
      <c r="C1019" s="140"/>
      <c r="D1019" s="140"/>
      <c r="E1019" s="140" t="s">
        <v>120</v>
      </c>
      <c r="F1019" s="140">
        <f>ROUND(F1018,1)</f>
        <v>1034.5999999999999</v>
      </c>
      <c r="G1019" s="4"/>
      <c r="H1019" s="4"/>
    </row>
    <row r="1020" spans="1:12" s="149" customFormat="1" hidden="1">
      <c r="C1020" s="121"/>
      <c r="D1020" s="121"/>
      <c r="E1020" s="121"/>
      <c r="F1020" s="121"/>
      <c r="G1020" s="121"/>
      <c r="H1020" s="121"/>
      <c r="I1020" s="121"/>
      <c r="J1020" s="121"/>
    </row>
    <row r="1021" spans="1:12" s="149" customFormat="1" hidden="1">
      <c r="C1021" s="121"/>
      <c r="D1021" s="121"/>
      <c r="E1021" s="121"/>
      <c r="F1021" s="121"/>
      <c r="G1021" s="121"/>
      <c r="H1021" s="121"/>
      <c r="I1021" s="121"/>
      <c r="J1021" s="121"/>
    </row>
    <row r="1022" spans="1:12" s="149" customFormat="1">
      <c r="C1022" s="121"/>
      <c r="D1022" s="121"/>
      <c r="E1022" s="121"/>
      <c r="F1022" s="121"/>
      <c r="G1022" s="121"/>
      <c r="H1022" s="121"/>
      <c r="I1022" s="121"/>
      <c r="J1022" s="121"/>
    </row>
    <row r="1023" spans="1:12" s="20" customFormat="1" ht="18" hidden="1" customHeight="1">
      <c r="A1023" s="128">
        <v>33</v>
      </c>
      <c r="B1023" s="1242" t="s">
        <v>1208</v>
      </c>
      <c r="C1023" s="1242"/>
      <c r="D1023" s="1242"/>
      <c r="E1023" s="1242"/>
      <c r="F1023" s="1242"/>
      <c r="G1023" s="4"/>
      <c r="H1023" s="4"/>
      <c r="L1023" s="50"/>
    </row>
    <row r="1024" spans="1:12" s="20" customFormat="1" hidden="1">
      <c r="A1024" s="5"/>
      <c r="B1024" s="414" t="s">
        <v>1085</v>
      </c>
      <c r="C1024" s="815"/>
      <c r="D1024" s="815"/>
      <c r="E1024" s="815"/>
      <c r="F1024" s="815"/>
      <c r="G1024" s="4"/>
      <c r="H1024" s="4"/>
      <c r="L1024" s="50"/>
    </row>
    <row r="1025" spans="1:12" s="20" customFormat="1" hidden="1">
      <c r="A1025" s="5"/>
      <c r="B1025" s="147" t="s">
        <v>1086</v>
      </c>
      <c r="C1025" s="816"/>
      <c r="D1025" s="817"/>
      <c r="E1025" s="818"/>
      <c r="F1025" s="818"/>
      <c r="G1025" s="4"/>
      <c r="H1025" s="4"/>
    </row>
    <row r="1026" spans="1:12" s="20" customFormat="1" hidden="1">
      <c r="A1026" s="5"/>
      <c r="B1026" s="414" t="s">
        <v>1087</v>
      </c>
      <c r="C1026" s="816"/>
      <c r="D1026" s="817"/>
      <c r="E1026" s="818"/>
      <c r="F1026" s="818"/>
      <c r="G1026" s="4"/>
      <c r="H1026" s="4"/>
      <c r="I1026" s="50"/>
      <c r="K1026" s="50"/>
      <c r="L1026" s="50"/>
    </row>
    <row r="1027" spans="1:12" s="20" customFormat="1" hidden="1">
      <c r="A1027" s="5"/>
      <c r="B1027" s="147" t="s">
        <v>1088</v>
      </c>
      <c r="C1027" s="819">
        <v>1</v>
      </c>
      <c r="D1027" s="817" t="s">
        <v>165</v>
      </c>
      <c r="E1027" s="818">
        <v>1980</v>
      </c>
      <c r="F1027" s="818">
        <f>E1027*C1027</f>
        <v>1980</v>
      </c>
      <c r="G1027" s="4"/>
      <c r="H1027" s="4"/>
      <c r="L1027" s="50"/>
    </row>
    <row r="1028" spans="1:12" s="20" customFormat="1" hidden="1">
      <c r="A1028" s="5"/>
      <c r="B1028" s="147" t="s">
        <v>104</v>
      </c>
      <c r="C1028" s="819">
        <v>1.2999999999999999E-2</v>
      </c>
      <c r="D1028" s="817" t="s">
        <v>297</v>
      </c>
      <c r="E1028" s="818">
        <f>Lead!E20</f>
        <v>55</v>
      </c>
      <c r="F1028" s="818">
        <f>C1028*E1028</f>
        <v>0.71499999999999997</v>
      </c>
      <c r="G1028" s="4"/>
      <c r="H1028" s="4"/>
      <c r="L1028" s="50"/>
    </row>
    <row r="1029" spans="1:12" s="20" customFormat="1" hidden="1">
      <c r="A1029" s="5"/>
      <c r="B1029" s="147" t="s">
        <v>1089</v>
      </c>
      <c r="C1029" s="820">
        <v>0.1857</v>
      </c>
      <c r="D1029" s="817" t="s">
        <v>1090</v>
      </c>
      <c r="E1029" s="818">
        <f>Lead!E29</f>
        <v>650</v>
      </c>
      <c r="F1029" s="818">
        <f>C1029*E1029</f>
        <v>120.705</v>
      </c>
      <c r="G1029" s="4"/>
      <c r="H1029" s="4"/>
      <c r="L1029" s="50"/>
    </row>
    <row r="1030" spans="1:12" s="20" customFormat="1" hidden="1">
      <c r="A1030" s="5"/>
      <c r="B1030" s="147" t="s">
        <v>1209</v>
      </c>
      <c r="C1030" s="819">
        <v>8.7999999999999995E-2</v>
      </c>
      <c r="D1030" s="817" t="s">
        <v>1090</v>
      </c>
      <c r="E1030" s="818">
        <f>E1029</f>
        <v>650</v>
      </c>
      <c r="F1030" s="818">
        <f>C1030*E1030</f>
        <v>57.199999999999996</v>
      </c>
      <c r="G1030" s="4"/>
      <c r="H1030" s="4"/>
      <c r="L1030" s="50"/>
    </row>
    <row r="1031" spans="1:12" s="20" customFormat="1" hidden="1">
      <c r="A1031" s="5"/>
      <c r="B1031" s="147"/>
      <c r="C1031" s="819"/>
      <c r="D1031" s="817"/>
      <c r="E1031" s="818" t="s">
        <v>117</v>
      </c>
      <c r="F1031" s="821">
        <f>SUM(F1027:F1030)</f>
        <v>2158.62</v>
      </c>
      <c r="G1031" s="4"/>
      <c r="H1031" s="4"/>
      <c r="L1031" s="50"/>
    </row>
    <row r="1032" spans="1:12" s="20" customFormat="1" hidden="1">
      <c r="A1032" s="5"/>
      <c r="B1032" s="414" t="s">
        <v>1092</v>
      </c>
      <c r="C1032" s="819"/>
      <c r="D1032" s="817"/>
      <c r="E1032" s="818"/>
      <c r="F1032" s="818"/>
      <c r="G1032" s="4"/>
      <c r="H1032" s="4"/>
    </row>
    <row r="1033" spans="1:12" s="20" customFormat="1" hidden="1">
      <c r="A1033" s="5"/>
      <c r="B1033" s="147" t="s">
        <v>1093</v>
      </c>
      <c r="C1033" s="819">
        <v>0.216</v>
      </c>
      <c r="D1033" s="817" t="s">
        <v>1094</v>
      </c>
      <c r="E1033" s="818">
        <f>Lead!E64</f>
        <v>260</v>
      </c>
      <c r="F1033" s="818">
        <f>C1033*E1033</f>
        <v>56.16</v>
      </c>
      <c r="G1033" s="4"/>
      <c r="H1033" s="4"/>
    </row>
    <row r="1034" spans="1:12" s="20" customFormat="1" hidden="1">
      <c r="A1034" s="5"/>
      <c r="B1034" s="147" t="s">
        <v>1095</v>
      </c>
      <c r="C1034" s="819">
        <v>0.55000000000000004</v>
      </c>
      <c r="D1034" s="817" t="s">
        <v>1094</v>
      </c>
      <c r="E1034" s="818">
        <f>Lead!E54</f>
        <v>220</v>
      </c>
      <c r="F1034" s="818">
        <f>C1034*E1034</f>
        <v>121.00000000000001</v>
      </c>
      <c r="G1034" s="4"/>
      <c r="H1034" s="4"/>
    </row>
    <row r="1035" spans="1:12" s="20" customFormat="1" hidden="1">
      <c r="A1035" s="5"/>
      <c r="B1035" s="147" t="s">
        <v>1096</v>
      </c>
      <c r="C1035" s="819">
        <v>0.216</v>
      </c>
      <c r="D1035" s="817" t="s">
        <v>1094</v>
      </c>
      <c r="E1035" s="818">
        <f>Lead!E47</f>
        <v>200</v>
      </c>
      <c r="F1035" s="818">
        <f>C1035*E1035</f>
        <v>43.2</v>
      </c>
      <c r="G1035" s="4"/>
      <c r="H1035" s="4"/>
    </row>
    <row r="1036" spans="1:12" s="20" customFormat="1" hidden="1">
      <c r="A1036" s="5"/>
      <c r="B1036" s="147"/>
      <c r="C1036" s="819"/>
      <c r="D1036" s="817"/>
      <c r="E1036" s="818" t="s">
        <v>117</v>
      </c>
      <c r="F1036" s="821">
        <f>SUM(F1033:F1035)</f>
        <v>220.36</v>
      </c>
      <c r="G1036" s="4"/>
      <c r="H1036" s="4"/>
    </row>
    <row r="1037" spans="1:12" s="20" customFormat="1" hidden="1">
      <c r="A1037" s="5"/>
      <c r="B1037" s="147" t="s">
        <v>1097</v>
      </c>
      <c r="C1037" s="816"/>
      <c r="D1037" s="817"/>
      <c r="E1037" s="818"/>
      <c r="F1037" s="818">
        <f>SUM(F1031+F1036)*0.075</f>
        <v>178.42349999999999</v>
      </c>
      <c r="G1037" s="4"/>
      <c r="H1037" s="4"/>
    </row>
    <row r="1038" spans="1:12" s="20" customFormat="1" ht="20.25" hidden="1" customHeight="1">
      <c r="A1038" s="5"/>
      <c r="B1038" s="147" t="s">
        <v>1098</v>
      </c>
      <c r="C1038" s="816"/>
      <c r="D1038" s="817"/>
      <c r="E1038" s="818"/>
      <c r="F1038" s="818">
        <f>SUM(F1031+F1036)*0.075</f>
        <v>178.42349999999999</v>
      </c>
      <c r="G1038" s="4"/>
      <c r="H1038" s="4"/>
    </row>
    <row r="1039" spans="1:12" s="20" customFormat="1" hidden="1">
      <c r="A1039" s="5"/>
      <c r="B1039" s="147"/>
      <c r="C1039" s="819"/>
      <c r="D1039" s="817"/>
      <c r="E1039" s="822" t="s">
        <v>117</v>
      </c>
      <c r="F1039" s="822">
        <f>F1031+F1036+F1037+F1038</f>
        <v>2735.8269999999998</v>
      </c>
      <c r="G1039" s="4"/>
      <c r="H1039" s="4"/>
    </row>
    <row r="1040" spans="1:12" s="20" customFormat="1" hidden="1">
      <c r="A1040" s="5"/>
      <c r="B1040" s="414" t="s">
        <v>1099</v>
      </c>
      <c r="C1040" s="819"/>
      <c r="D1040" s="817"/>
      <c r="E1040" s="818"/>
      <c r="F1040" s="818"/>
      <c r="G1040" s="4"/>
      <c r="H1040" s="4"/>
    </row>
    <row r="1041" spans="1:8" s="20" customFormat="1" hidden="1">
      <c r="A1041" s="5"/>
      <c r="B1041" s="147" t="s">
        <v>1100</v>
      </c>
      <c r="C1041" s="819">
        <v>1</v>
      </c>
      <c r="D1041" s="817" t="s">
        <v>165</v>
      </c>
      <c r="E1041" s="818">
        <f>1010.8/180</f>
        <v>5.615555555555555</v>
      </c>
      <c r="F1041" s="818">
        <f>E1041*C1041</f>
        <v>5.615555555555555</v>
      </c>
      <c r="G1041" s="4"/>
      <c r="H1041" s="4"/>
    </row>
    <row r="1042" spans="1:8" s="20" customFormat="1" hidden="1">
      <c r="A1042" s="5"/>
      <c r="B1042" s="147" t="s">
        <v>104</v>
      </c>
      <c r="C1042" s="819">
        <v>1.2999999999999999E-2</v>
      </c>
      <c r="D1042" s="817" t="s">
        <v>297</v>
      </c>
      <c r="E1042" s="818">
        <f>Lead!J20</f>
        <v>196.4</v>
      </c>
      <c r="F1042" s="818">
        <f>C1042*E1042</f>
        <v>2.5531999999999999</v>
      </c>
      <c r="G1042" s="4"/>
      <c r="H1042" s="4"/>
    </row>
    <row r="1043" spans="1:8" s="20" customFormat="1" hidden="1">
      <c r="A1043" s="5"/>
      <c r="B1043" s="147" t="s">
        <v>1089</v>
      </c>
      <c r="C1043" s="819">
        <v>0.1857</v>
      </c>
      <c r="D1043" s="817" t="s">
        <v>1090</v>
      </c>
      <c r="E1043" s="818">
        <f>Lead!J29</f>
        <v>16.899999999999999</v>
      </c>
      <c r="F1043" s="818">
        <f>C1043*E1043</f>
        <v>3.1383299999999998</v>
      </c>
      <c r="G1043" s="4"/>
      <c r="H1043" s="4"/>
    </row>
    <row r="1044" spans="1:8" s="20" customFormat="1" hidden="1">
      <c r="A1044" s="5"/>
      <c r="B1044" s="147" t="s">
        <v>1209</v>
      </c>
      <c r="C1044" s="819">
        <v>8.7999999999999995E-2</v>
      </c>
      <c r="D1044" s="817" t="s">
        <v>1101</v>
      </c>
      <c r="E1044" s="818">
        <f>E1043</f>
        <v>16.899999999999999</v>
      </c>
      <c r="F1044" s="818">
        <f>C1044*E1044</f>
        <v>1.4871999999999999</v>
      </c>
      <c r="G1044" s="4"/>
      <c r="H1044" s="4"/>
    </row>
    <row r="1045" spans="1:8" s="20" customFormat="1" hidden="1">
      <c r="A1045" s="5"/>
      <c r="B1045" s="147"/>
      <c r="C1045" s="816"/>
      <c r="D1045" s="817"/>
      <c r="E1045" s="818" t="s">
        <v>117</v>
      </c>
      <c r="F1045" s="818">
        <f>SUM(F1041:F1044)</f>
        <v>12.794285555555554</v>
      </c>
      <c r="G1045" s="4"/>
      <c r="H1045" s="4"/>
    </row>
    <row r="1046" spans="1:8" s="20" customFormat="1" hidden="1">
      <c r="A1046" s="5"/>
      <c r="B1046" s="147"/>
      <c r="C1046" s="816"/>
      <c r="D1046" s="817"/>
      <c r="E1046" s="818" t="s">
        <v>117</v>
      </c>
      <c r="F1046" s="818">
        <f>F1045+F1039</f>
        <v>2748.6212855555555</v>
      </c>
      <c r="G1046" s="4"/>
      <c r="H1046" s="4"/>
    </row>
    <row r="1047" spans="1:8" s="20" customFormat="1" hidden="1">
      <c r="A1047" s="128" t="s">
        <v>38</v>
      </c>
      <c r="B1047" s="147" t="s">
        <v>337</v>
      </c>
      <c r="C1047" s="816"/>
      <c r="D1047" s="817"/>
      <c r="E1047" s="818"/>
      <c r="F1047" s="818">
        <f>F1046</f>
        <v>2748.6212855555555</v>
      </c>
      <c r="G1047" s="4"/>
      <c r="H1047" s="4"/>
    </row>
    <row r="1048" spans="1:8" s="20" customFormat="1" hidden="1">
      <c r="A1048" s="5"/>
      <c r="B1048" s="147" t="s">
        <v>1180</v>
      </c>
      <c r="C1048" s="816"/>
      <c r="D1048" s="817"/>
      <c r="E1048" s="818"/>
      <c r="F1048" s="818">
        <v>8.5</v>
      </c>
      <c r="G1048" s="4"/>
      <c r="H1048" s="4"/>
    </row>
    <row r="1049" spans="1:8" s="20" customFormat="1" hidden="1">
      <c r="A1049" s="5"/>
      <c r="B1049" s="147"/>
      <c r="C1049" s="816"/>
      <c r="D1049" s="817"/>
      <c r="E1049" s="818" t="s">
        <v>1102</v>
      </c>
      <c r="F1049" s="818">
        <f>SUM(F1047:F1048)</f>
        <v>2757.1212855555555</v>
      </c>
      <c r="G1049" s="4"/>
      <c r="H1049" s="4"/>
    </row>
    <row r="1050" spans="1:8" s="20" customFormat="1" hidden="1">
      <c r="A1050" s="5"/>
      <c r="B1050" s="147" t="s">
        <v>457</v>
      </c>
      <c r="C1050" s="816"/>
      <c r="D1050" s="817"/>
      <c r="E1050" s="818"/>
      <c r="F1050" s="818">
        <f>F1049*0.01</f>
        <v>27.571212855555554</v>
      </c>
      <c r="G1050" s="4"/>
      <c r="H1050" s="4"/>
    </row>
    <row r="1051" spans="1:8" s="20" customFormat="1" hidden="1">
      <c r="A1051" s="5"/>
      <c r="B1051" s="147"/>
      <c r="C1051" s="816"/>
      <c r="D1051" s="817"/>
      <c r="E1051" s="818"/>
      <c r="F1051" s="818">
        <f>F1049+F1050</f>
        <v>2784.692498411111</v>
      </c>
      <c r="G1051" s="4"/>
      <c r="H1051" s="4"/>
    </row>
    <row r="1052" spans="1:8" s="20" customFormat="1" hidden="1">
      <c r="A1052" s="128" t="s">
        <v>39</v>
      </c>
      <c r="B1052" s="147"/>
      <c r="C1052" s="816"/>
      <c r="D1052" s="817"/>
      <c r="E1052" s="818" t="s">
        <v>120</v>
      </c>
      <c r="F1052" s="822">
        <f>ROUND(F1051,1)</f>
        <v>2784.7</v>
      </c>
      <c r="G1052" s="4"/>
      <c r="H1052" s="4"/>
    </row>
    <row r="1053" spans="1:8" s="20" customFormat="1" hidden="1">
      <c r="A1053" s="5"/>
      <c r="B1053" s="414" t="s">
        <v>1183</v>
      </c>
      <c r="C1053" s="816"/>
      <c r="D1053" s="817"/>
      <c r="E1053" s="818"/>
      <c r="F1053" s="818"/>
      <c r="G1053" s="4"/>
      <c r="H1053" s="4"/>
    </row>
    <row r="1054" spans="1:8" s="20" customFormat="1" hidden="1">
      <c r="A1054" s="5"/>
      <c r="B1054" s="147" t="s">
        <v>1184</v>
      </c>
      <c r="C1054" s="816"/>
      <c r="D1054" s="817"/>
      <c r="E1054" s="818"/>
      <c r="F1054" s="818">
        <f>F1051</f>
        <v>2784.692498411111</v>
      </c>
      <c r="G1054" s="4"/>
      <c r="H1054" s="4"/>
    </row>
    <row r="1055" spans="1:8" s="20" customFormat="1" hidden="1">
      <c r="A1055" s="5"/>
      <c r="B1055" s="147" t="s">
        <v>1185</v>
      </c>
      <c r="C1055" s="816"/>
      <c r="D1055" s="817"/>
      <c r="E1055" s="818"/>
      <c r="F1055" s="818">
        <f>SUM(F1036*0.05)</f>
        <v>11.018000000000001</v>
      </c>
      <c r="G1055" s="4"/>
      <c r="H1055" s="4"/>
    </row>
    <row r="1056" spans="1:8" s="20" customFormat="1" hidden="1">
      <c r="A1056" s="5"/>
      <c r="B1056" s="147" t="s">
        <v>1097</v>
      </c>
      <c r="C1056" s="816"/>
      <c r="D1056" s="817"/>
      <c r="E1056" s="818"/>
      <c r="F1056" s="818">
        <f>F1055*0.075</f>
        <v>0.82635000000000003</v>
      </c>
      <c r="G1056" s="4"/>
      <c r="H1056" s="4"/>
    </row>
    <row r="1057" spans="1:8" s="20" customFormat="1" hidden="1">
      <c r="A1057" s="5"/>
      <c r="B1057" s="147" t="s">
        <v>1098</v>
      </c>
      <c r="C1057" s="816"/>
      <c r="D1057" s="817"/>
      <c r="E1057" s="818"/>
      <c r="F1057" s="818">
        <f>F1055*0.075</f>
        <v>0.82635000000000003</v>
      </c>
      <c r="G1057" s="4"/>
      <c r="H1057" s="4"/>
    </row>
    <row r="1058" spans="1:8" s="20" customFormat="1" hidden="1">
      <c r="A1058" s="5"/>
      <c r="B1058" s="147" t="s">
        <v>1186</v>
      </c>
      <c r="C1058" s="816"/>
      <c r="D1058" s="817"/>
      <c r="E1058" s="818"/>
      <c r="F1058" s="818">
        <f>SUM(F1055:F1057)*0.01</f>
        <v>0.12670700000000001</v>
      </c>
      <c r="G1058" s="4"/>
      <c r="H1058" s="4"/>
    </row>
    <row r="1059" spans="1:8" s="20" customFormat="1" hidden="1">
      <c r="A1059" s="5"/>
      <c r="B1059" s="147"/>
      <c r="C1059" s="816"/>
      <c r="D1059" s="817"/>
      <c r="E1059" s="818" t="s">
        <v>117</v>
      </c>
      <c r="F1059" s="818">
        <f>SUM(F1054:F1058)</f>
        <v>2797.4899054111106</v>
      </c>
      <c r="G1059" s="4"/>
      <c r="H1059" s="4"/>
    </row>
    <row r="1060" spans="1:8" s="20" customFormat="1" hidden="1">
      <c r="A1060" s="5"/>
      <c r="B1060" s="147"/>
      <c r="C1060" s="816"/>
      <c r="D1060" s="817"/>
      <c r="E1060" s="822" t="s">
        <v>120</v>
      </c>
      <c r="F1060" s="822">
        <f>ROUND(F1059,1)</f>
        <v>2797.5</v>
      </c>
      <c r="G1060" s="4"/>
      <c r="H1060" s="4"/>
    </row>
    <row r="1061" spans="1:8" s="20" customFormat="1" hidden="1">
      <c r="A1061" s="5"/>
      <c r="B1061" s="414" t="s">
        <v>1187</v>
      </c>
      <c r="C1061" s="816"/>
      <c r="D1061" s="817"/>
      <c r="E1061" s="818"/>
      <c r="F1061" s="818"/>
      <c r="G1061" s="4"/>
      <c r="H1061" s="4"/>
    </row>
    <row r="1062" spans="1:8" s="20" customFormat="1" hidden="1">
      <c r="A1062" s="5"/>
      <c r="B1062" s="147" t="s">
        <v>1184</v>
      </c>
      <c r="C1062" s="816"/>
      <c r="D1062" s="817"/>
      <c r="E1062" s="818"/>
      <c r="F1062" s="818">
        <f>F1059</f>
        <v>2797.4899054111106</v>
      </c>
      <c r="G1062" s="4"/>
      <c r="H1062" s="4"/>
    </row>
    <row r="1063" spans="1:8" s="20" customFormat="1" hidden="1">
      <c r="A1063" s="5"/>
      <c r="B1063" s="147" t="s">
        <v>1185</v>
      </c>
      <c r="C1063" s="816"/>
      <c r="D1063" s="817"/>
      <c r="E1063" s="818"/>
      <c r="F1063" s="818">
        <f>SUM(F1055*1.05)</f>
        <v>11.568900000000001</v>
      </c>
      <c r="G1063" s="4"/>
      <c r="H1063" s="4"/>
    </row>
    <row r="1064" spans="1:8" s="20" customFormat="1" hidden="1">
      <c r="A1064" s="5"/>
      <c r="B1064" s="147" t="s">
        <v>1097</v>
      </c>
      <c r="C1064" s="816"/>
      <c r="D1064" s="817"/>
      <c r="E1064" s="818"/>
      <c r="F1064" s="818">
        <f>F1063*0.075</f>
        <v>0.86766750000000004</v>
      </c>
      <c r="G1064" s="4"/>
      <c r="H1064" s="4"/>
    </row>
    <row r="1065" spans="1:8" s="20" customFormat="1" hidden="1">
      <c r="A1065" s="5"/>
      <c r="B1065" s="147" t="s">
        <v>1098</v>
      </c>
      <c r="C1065" s="816"/>
      <c r="D1065" s="817"/>
      <c r="E1065" s="818"/>
      <c r="F1065" s="818">
        <f>F1063*0.075</f>
        <v>0.86766750000000004</v>
      </c>
      <c r="G1065" s="4"/>
      <c r="H1065" s="4"/>
    </row>
    <row r="1066" spans="1:8" s="20" customFormat="1" hidden="1">
      <c r="A1066" s="5"/>
      <c r="B1066" s="147" t="s">
        <v>1186</v>
      </c>
      <c r="C1066" s="816"/>
      <c r="D1066" s="817"/>
      <c r="E1066" s="818"/>
      <c r="F1066" s="818">
        <f>SUM(F1063:F1065)*0.01</f>
        <v>0.13304235</v>
      </c>
      <c r="G1066" s="4"/>
      <c r="H1066" s="4"/>
    </row>
    <row r="1067" spans="1:8" s="20" customFormat="1" hidden="1">
      <c r="A1067" s="5"/>
      <c r="B1067" s="147"/>
      <c r="C1067" s="816"/>
      <c r="D1067" s="817"/>
      <c r="E1067" s="818" t="s">
        <v>117</v>
      </c>
      <c r="F1067" s="818">
        <f>SUM(F1062:F1066)</f>
        <v>2810.927182761111</v>
      </c>
      <c r="G1067" s="4"/>
      <c r="H1067" s="4"/>
    </row>
    <row r="1068" spans="1:8" s="20" customFormat="1" hidden="1">
      <c r="A1068" s="5"/>
      <c r="B1068" s="147"/>
      <c r="C1068" s="816"/>
      <c r="D1068" s="817"/>
      <c r="E1068" s="822" t="s">
        <v>120</v>
      </c>
      <c r="F1068" s="822">
        <f>ROUND(F1067,1)</f>
        <v>2810.9</v>
      </c>
      <c r="G1068" s="4"/>
      <c r="H1068" s="4"/>
    </row>
    <row r="1069" spans="1:8" s="20" customFormat="1" hidden="1">
      <c r="A1069" s="5"/>
      <c r="B1069" s="414" t="s">
        <v>1210</v>
      </c>
      <c r="C1069" s="816"/>
      <c r="D1069" s="817"/>
      <c r="E1069" s="818"/>
      <c r="F1069" s="818"/>
      <c r="G1069" s="4"/>
      <c r="H1069" s="4"/>
    </row>
    <row r="1070" spans="1:8" s="20" customFormat="1" hidden="1">
      <c r="A1070" s="5"/>
      <c r="B1070" s="147" t="s">
        <v>1184</v>
      </c>
      <c r="C1070" s="816"/>
      <c r="D1070" s="817"/>
      <c r="E1070" s="818"/>
      <c r="F1070" s="818">
        <f>F1067</f>
        <v>2810.927182761111</v>
      </c>
      <c r="G1070" s="4"/>
      <c r="H1070" s="4"/>
    </row>
    <row r="1071" spans="1:8" s="20" customFormat="1" hidden="1">
      <c r="A1071" s="5"/>
      <c r="B1071" s="147" t="s">
        <v>1185</v>
      </c>
      <c r="C1071" s="816"/>
      <c r="D1071" s="817"/>
      <c r="E1071" s="818"/>
      <c r="F1071" s="818">
        <f>SUM(F1063*1.05)</f>
        <v>12.147345000000001</v>
      </c>
      <c r="G1071" s="4"/>
      <c r="H1071" s="4"/>
    </row>
    <row r="1072" spans="1:8" s="20" customFormat="1" hidden="1">
      <c r="A1072" s="5"/>
      <c r="B1072" s="147" t="s">
        <v>1097</v>
      </c>
      <c r="C1072" s="816"/>
      <c r="D1072" s="817"/>
      <c r="E1072" s="818"/>
      <c r="F1072" s="818">
        <f>F1071*0.075</f>
        <v>0.91105087500000004</v>
      </c>
      <c r="G1072" s="4"/>
      <c r="H1072" s="4"/>
    </row>
    <row r="1073" spans="1:10" s="20" customFormat="1" hidden="1">
      <c r="A1073" s="5"/>
      <c r="B1073" s="147" t="s">
        <v>1098</v>
      </c>
      <c r="C1073" s="816"/>
      <c r="D1073" s="817"/>
      <c r="E1073" s="818"/>
      <c r="F1073" s="818">
        <f>F1071*0.075</f>
        <v>0.91105087500000004</v>
      </c>
      <c r="G1073" s="4"/>
      <c r="H1073" s="4"/>
    </row>
    <row r="1074" spans="1:10" s="20" customFormat="1" hidden="1">
      <c r="A1074" s="5"/>
      <c r="B1074" s="147" t="s">
        <v>1186</v>
      </c>
      <c r="C1074" s="816"/>
      <c r="D1074" s="817"/>
      <c r="E1074" s="818"/>
      <c r="F1074" s="818">
        <f>SUM(F1071:F1073)*0.01</f>
        <v>0.13969446750000003</v>
      </c>
      <c r="G1074" s="4"/>
      <c r="H1074" s="4"/>
    </row>
    <row r="1075" spans="1:10" s="20" customFormat="1" hidden="1">
      <c r="A1075" s="5"/>
      <c r="B1075" s="147"/>
      <c r="C1075" s="816"/>
      <c r="D1075" s="817"/>
      <c r="E1075" s="818" t="s">
        <v>117</v>
      </c>
      <c r="F1075" s="818">
        <f>SUM(F1070:F1074)</f>
        <v>2825.0363239786107</v>
      </c>
      <c r="G1075" s="4"/>
      <c r="H1075" s="4"/>
    </row>
    <row r="1076" spans="1:10" s="20" customFormat="1" hidden="1">
      <c r="A1076" s="5"/>
      <c r="B1076" s="147"/>
      <c r="C1076" s="816"/>
      <c r="D1076" s="817"/>
      <c r="E1076" s="822" t="s">
        <v>120</v>
      </c>
      <c r="F1076" s="822">
        <f>ROUND(F1075,1)</f>
        <v>2825</v>
      </c>
      <c r="G1076" s="4"/>
      <c r="H1076" s="4"/>
    </row>
    <row r="1077" spans="1:10" s="20" customFormat="1" hidden="1">
      <c r="A1077" s="5"/>
      <c r="B1077" s="131"/>
      <c r="C1077" s="135"/>
      <c r="D1077" s="135"/>
      <c r="E1077" s="135"/>
      <c r="F1077" s="140"/>
      <c r="G1077" s="4"/>
      <c r="H1077" s="4"/>
    </row>
    <row r="1078" spans="1:10" s="20" customFormat="1" hidden="1">
      <c r="A1078" s="5"/>
      <c r="B1078" s="131"/>
      <c r="C1078" s="135"/>
      <c r="D1078" s="135"/>
      <c r="E1078" s="135"/>
      <c r="F1078" s="140"/>
      <c r="G1078" s="4"/>
      <c r="H1078" s="4"/>
    </row>
    <row r="1079" spans="1:10" s="20" customFormat="1" hidden="1">
      <c r="A1079" s="5"/>
      <c r="B1079" s="131"/>
      <c r="C1079" s="135"/>
      <c r="D1079" s="135"/>
      <c r="E1079" s="135"/>
      <c r="F1079" s="140"/>
      <c r="G1079" s="4"/>
      <c r="H1079" s="4"/>
    </row>
    <row r="1080" spans="1:10" s="20" customFormat="1" ht="12.75" hidden="1" customHeight="1">
      <c r="A1080" s="5">
        <v>33</v>
      </c>
      <c r="B1080" s="131" t="s">
        <v>1174</v>
      </c>
      <c r="C1080" s="135"/>
      <c r="D1080" s="135"/>
      <c r="E1080" s="135"/>
      <c r="F1080" s="135"/>
      <c r="G1080" s="4"/>
      <c r="H1080" s="4"/>
    </row>
    <row r="1081" spans="1:10" s="149" customFormat="1" hidden="1">
      <c r="B1081" s="414" t="s">
        <v>1175</v>
      </c>
      <c r="C1081" s="815"/>
      <c r="D1081" s="815"/>
      <c r="E1081" s="815"/>
      <c r="F1081" s="815"/>
      <c r="G1081" s="121"/>
      <c r="H1081" s="121"/>
      <c r="I1081" s="121"/>
      <c r="J1081" s="121"/>
    </row>
    <row r="1082" spans="1:10" s="149" customFormat="1" hidden="1">
      <c r="B1082" s="147" t="s">
        <v>1176</v>
      </c>
      <c r="C1082" s="816"/>
      <c r="D1082" s="817"/>
      <c r="E1082" s="818"/>
      <c r="F1082" s="818"/>
      <c r="G1082" s="121"/>
      <c r="H1082" s="121"/>
      <c r="I1082" s="121"/>
      <c r="J1082" s="121"/>
    </row>
    <row r="1083" spans="1:10" s="149" customFormat="1" hidden="1">
      <c r="B1083" s="414" t="s">
        <v>1087</v>
      </c>
      <c r="C1083" s="816"/>
      <c r="D1083" s="817"/>
      <c r="E1083" s="818"/>
      <c r="F1083" s="818"/>
      <c r="G1083" s="121"/>
      <c r="H1083" s="121"/>
      <c r="I1083" s="121"/>
      <c r="J1083" s="121"/>
    </row>
    <row r="1084" spans="1:10" s="149" customFormat="1" hidden="1">
      <c r="B1084" s="147" t="s">
        <v>1009</v>
      </c>
      <c r="C1084" s="819">
        <v>1</v>
      </c>
      <c r="D1084" s="817" t="s">
        <v>32</v>
      </c>
      <c r="E1084" s="818">
        <v>1980</v>
      </c>
      <c r="F1084" s="818">
        <f>E1084*C1084</f>
        <v>1980</v>
      </c>
      <c r="G1084" s="121"/>
      <c r="H1084" s="121"/>
      <c r="I1084" s="121"/>
      <c r="J1084" s="121"/>
    </row>
    <row r="1085" spans="1:10" s="149" customFormat="1" hidden="1">
      <c r="B1085" s="147" t="s">
        <v>104</v>
      </c>
      <c r="C1085" s="819">
        <v>1.4999999999999999E-2</v>
      </c>
      <c r="D1085" s="817" t="s">
        <v>297</v>
      </c>
      <c r="E1085" s="818">
        <f>Lead!E20</f>
        <v>55</v>
      </c>
      <c r="F1085" s="818">
        <f>C1085*E1085</f>
        <v>0.82499999999999996</v>
      </c>
      <c r="G1085" s="121"/>
      <c r="H1085" s="121"/>
      <c r="I1085" s="121"/>
      <c r="J1085" s="121"/>
    </row>
    <row r="1086" spans="1:10" s="149" customFormat="1" hidden="1">
      <c r="B1086" s="147" t="s">
        <v>1089</v>
      </c>
      <c r="C1086" s="819">
        <v>7.1499999999999994E-2</v>
      </c>
      <c r="D1086" s="817" t="s">
        <v>1090</v>
      </c>
      <c r="E1086" s="818">
        <f>Lead!E29</f>
        <v>650</v>
      </c>
      <c r="F1086" s="818">
        <f>C1086*E1086</f>
        <v>46.474999999999994</v>
      </c>
      <c r="G1086" s="121"/>
      <c r="H1086" s="121"/>
      <c r="I1086" s="121"/>
      <c r="J1086" s="121"/>
    </row>
    <row r="1087" spans="1:10" s="149" customFormat="1" hidden="1">
      <c r="B1087" s="147" t="s">
        <v>1177</v>
      </c>
      <c r="C1087" s="819">
        <v>6.6000000000000003E-2</v>
      </c>
      <c r="D1087" s="817" t="s">
        <v>1090</v>
      </c>
      <c r="E1087" s="818">
        <f>E1086</f>
        <v>650</v>
      </c>
      <c r="F1087" s="818">
        <f>C1087*E1087</f>
        <v>42.9</v>
      </c>
      <c r="G1087" s="121"/>
      <c r="H1087" s="121"/>
      <c r="I1087" s="121"/>
      <c r="J1087" s="121"/>
    </row>
    <row r="1088" spans="1:10" s="149" customFormat="1" hidden="1">
      <c r="B1088" s="147"/>
      <c r="C1088" s="819"/>
      <c r="D1088" s="817"/>
      <c r="E1088" s="818"/>
      <c r="F1088" s="822">
        <f>SUM(F1084:F1087)</f>
        <v>2070.1999999999998</v>
      </c>
      <c r="G1088" s="121"/>
      <c r="H1088" s="121"/>
      <c r="I1088" s="121"/>
      <c r="J1088" s="121"/>
    </row>
    <row r="1089" spans="2:10" s="149" customFormat="1" hidden="1">
      <c r="B1089" s="414" t="s">
        <v>1092</v>
      </c>
      <c r="C1089" s="819"/>
      <c r="D1089" s="817"/>
      <c r="E1089" s="818"/>
      <c r="F1089" s="818"/>
      <c r="G1089" s="121"/>
      <c r="H1089" s="121"/>
      <c r="I1089" s="121"/>
      <c r="J1089" s="121"/>
    </row>
    <row r="1090" spans="2:10" s="149" customFormat="1" hidden="1">
      <c r="B1090" s="147" t="s">
        <v>1093</v>
      </c>
      <c r="C1090" s="819">
        <v>0.32500000000000001</v>
      </c>
      <c r="D1090" s="817" t="s">
        <v>1094</v>
      </c>
      <c r="E1090" s="818">
        <f>Lead!E64</f>
        <v>260</v>
      </c>
      <c r="F1090" s="818">
        <f>C1090*E1090</f>
        <v>84.5</v>
      </c>
      <c r="G1090" s="121"/>
      <c r="H1090" s="121"/>
      <c r="I1090" s="121"/>
      <c r="J1090" s="121"/>
    </row>
    <row r="1091" spans="2:10" s="149" customFormat="1" hidden="1">
      <c r="B1091" s="147" t="s">
        <v>1095</v>
      </c>
      <c r="C1091" s="819">
        <v>0.76</v>
      </c>
      <c r="D1091" s="817" t="s">
        <v>1094</v>
      </c>
      <c r="E1091" s="818">
        <f>Lead!E54</f>
        <v>220</v>
      </c>
      <c r="F1091" s="818">
        <f>C1091*E1091</f>
        <v>167.2</v>
      </c>
      <c r="G1091" s="121"/>
      <c r="H1091" s="121"/>
      <c r="I1091" s="121"/>
      <c r="J1091" s="121"/>
    </row>
    <row r="1092" spans="2:10" s="149" customFormat="1" hidden="1">
      <c r="B1092" s="147" t="s">
        <v>1096</v>
      </c>
      <c r="C1092" s="819">
        <v>0.32500000000000001</v>
      </c>
      <c r="D1092" s="817" t="s">
        <v>1094</v>
      </c>
      <c r="E1092" s="818">
        <f>Lead!E47</f>
        <v>200</v>
      </c>
      <c r="F1092" s="818">
        <f>C1092*E1092</f>
        <v>65</v>
      </c>
      <c r="G1092" s="121"/>
      <c r="H1092" s="121"/>
      <c r="I1092" s="121"/>
      <c r="J1092" s="121"/>
    </row>
    <row r="1093" spans="2:10" s="149" customFormat="1" hidden="1">
      <c r="B1093" s="147"/>
      <c r="C1093" s="819"/>
      <c r="D1093" s="817"/>
      <c r="E1093" s="818" t="s">
        <v>117</v>
      </c>
      <c r="F1093" s="822">
        <f>SUM(F1090:F1092)</f>
        <v>316.7</v>
      </c>
      <c r="G1093" s="121"/>
      <c r="H1093" s="121"/>
      <c r="I1093" s="121"/>
      <c r="J1093" s="121"/>
    </row>
    <row r="1094" spans="2:10" s="149" customFormat="1" hidden="1">
      <c r="B1094" s="147" t="s">
        <v>1097</v>
      </c>
      <c r="C1094" s="819"/>
      <c r="D1094" s="817"/>
      <c r="E1094" s="818"/>
      <c r="F1094" s="818">
        <f>SUM(F1088+F1093)*0.075</f>
        <v>179.01749999999996</v>
      </c>
      <c r="G1094" s="121"/>
      <c r="H1094" s="121"/>
      <c r="I1094" s="121"/>
      <c r="J1094" s="121"/>
    </row>
    <row r="1095" spans="2:10" s="149" customFormat="1" hidden="1">
      <c r="B1095" s="147" t="s">
        <v>1178</v>
      </c>
      <c r="C1095" s="819"/>
      <c r="D1095" s="817"/>
      <c r="E1095" s="818"/>
      <c r="F1095" s="818">
        <f>SUM(F1088+F1093)*0.075</f>
        <v>179.01749999999996</v>
      </c>
      <c r="G1095" s="121"/>
      <c r="H1095" s="121"/>
      <c r="I1095" s="121"/>
      <c r="J1095" s="121"/>
    </row>
    <row r="1096" spans="2:10" s="149" customFormat="1" hidden="1">
      <c r="B1096" s="147"/>
      <c r="C1096" s="819"/>
      <c r="D1096" s="817"/>
      <c r="E1096" s="818" t="s">
        <v>1179</v>
      </c>
      <c r="F1096" s="818">
        <f>SUM(F1093:F1095)</f>
        <v>674.7349999999999</v>
      </c>
      <c r="G1096" s="121"/>
      <c r="H1096" s="121"/>
      <c r="I1096" s="121"/>
      <c r="J1096" s="121"/>
    </row>
    <row r="1097" spans="2:10" s="149" customFormat="1" hidden="1">
      <c r="B1097" s="147"/>
      <c r="C1097" s="819"/>
      <c r="D1097" s="817"/>
      <c r="E1097" s="818"/>
      <c r="F1097" s="818"/>
      <c r="G1097" s="121"/>
      <c r="H1097" s="121"/>
      <c r="I1097" s="121"/>
      <c r="J1097" s="121"/>
    </row>
    <row r="1098" spans="2:10" s="149" customFormat="1" hidden="1">
      <c r="B1098" s="414" t="s">
        <v>441</v>
      </c>
      <c r="C1098" s="819"/>
      <c r="D1098" s="817"/>
      <c r="E1098" s="818"/>
      <c r="F1098" s="818"/>
      <c r="G1098" s="121"/>
      <c r="H1098" s="121"/>
      <c r="I1098" s="121"/>
      <c r="J1098" s="121"/>
    </row>
    <row r="1099" spans="2:10" s="149" customFormat="1" hidden="1">
      <c r="B1099" s="147" t="s">
        <v>1009</v>
      </c>
      <c r="C1099" s="819">
        <v>1</v>
      </c>
      <c r="D1099" s="817" t="s">
        <v>32</v>
      </c>
      <c r="E1099" s="818">
        <f>1010.8/180</f>
        <v>5.615555555555555</v>
      </c>
      <c r="F1099" s="818">
        <f>E1099*C1099</f>
        <v>5.615555555555555</v>
      </c>
      <c r="G1099" s="121"/>
      <c r="H1099" s="121"/>
      <c r="I1099" s="121"/>
      <c r="J1099" s="121"/>
    </row>
    <row r="1100" spans="2:10" s="149" customFormat="1" hidden="1">
      <c r="B1100" s="147" t="s">
        <v>104</v>
      </c>
      <c r="C1100" s="819">
        <f>C1085</f>
        <v>1.4999999999999999E-2</v>
      </c>
      <c r="D1100" s="817" t="s">
        <v>297</v>
      </c>
      <c r="E1100" s="818">
        <f>Lead!J20</f>
        <v>196.4</v>
      </c>
      <c r="F1100" s="818">
        <f>C1100*E1100</f>
        <v>2.9460000000000002</v>
      </c>
      <c r="G1100" s="121"/>
      <c r="H1100" s="121"/>
      <c r="I1100" s="121"/>
      <c r="J1100" s="121"/>
    </row>
    <row r="1101" spans="2:10" s="149" customFormat="1" hidden="1">
      <c r="B1101" s="147" t="s">
        <v>1089</v>
      </c>
      <c r="C1101" s="819">
        <v>7.1499999999999994E-2</v>
      </c>
      <c r="D1101" s="817" t="s">
        <v>1090</v>
      </c>
      <c r="E1101" s="818">
        <f>Lead!J29</f>
        <v>16.899999999999999</v>
      </c>
      <c r="F1101" s="818">
        <f>C1101*E1101</f>
        <v>1.2083499999999998</v>
      </c>
      <c r="G1101" s="121"/>
      <c r="H1101" s="121"/>
      <c r="I1101" s="121"/>
      <c r="J1101" s="121"/>
    </row>
    <row r="1102" spans="2:10" s="149" customFormat="1" hidden="1">
      <c r="B1102" s="147" t="s">
        <v>1177</v>
      </c>
      <c r="C1102" s="819">
        <v>6.6000000000000003E-2</v>
      </c>
      <c r="D1102" s="817" t="s">
        <v>1101</v>
      </c>
      <c r="E1102" s="818">
        <f>E1101</f>
        <v>16.899999999999999</v>
      </c>
      <c r="F1102" s="818">
        <f>C1102*E1102</f>
        <v>1.1153999999999999</v>
      </c>
      <c r="G1102" s="121"/>
      <c r="H1102" s="121"/>
      <c r="I1102" s="121"/>
      <c r="J1102" s="121"/>
    </row>
    <row r="1103" spans="2:10" s="149" customFormat="1" hidden="1">
      <c r="B1103" s="147"/>
      <c r="C1103" s="816"/>
      <c r="D1103" s="817"/>
      <c r="E1103" s="822" t="s">
        <v>1179</v>
      </c>
      <c r="F1103" s="818">
        <f>SUM(F1099:F1102)</f>
        <v>10.885305555555554</v>
      </c>
      <c r="G1103" s="121"/>
      <c r="H1103" s="121"/>
      <c r="I1103" s="121"/>
      <c r="J1103" s="121"/>
    </row>
    <row r="1104" spans="2:10" s="149" customFormat="1" hidden="1">
      <c r="B1104" s="147" t="s">
        <v>337</v>
      </c>
      <c r="C1104" s="816"/>
      <c r="D1104" s="817"/>
      <c r="E1104" s="818" t="s">
        <v>117</v>
      </c>
      <c r="F1104" s="818">
        <f>F1088+F1096+F1103</f>
        <v>2755.820305555555</v>
      </c>
      <c r="G1104" s="121"/>
      <c r="H1104" s="121"/>
      <c r="I1104" s="121"/>
      <c r="J1104" s="121"/>
    </row>
    <row r="1105" spans="2:10" s="149" customFormat="1" hidden="1">
      <c r="B1105" s="147" t="s">
        <v>1180</v>
      </c>
      <c r="C1105" s="816"/>
      <c r="D1105" s="817"/>
      <c r="E1105" s="818"/>
      <c r="F1105" s="818">
        <v>8.5</v>
      </c>
      <c r="G1105" s="121"/>
      <c r="H1105" s="121"/>
      <c r="I1105" s="121"/>
      <c r="J1105" s="121"/>
    </row>
    <row r="1106" spans="2:10" s="149" customFormat="1" hidden="1">
      <c r="B1106" s="147"/>
      <c r="C1106" s="816"/>
      <c r="D1106" s="817"/>
      <c r="E1106" s="818" t="s">
        <v>1181</v>
      </c>
      <c r="F1106" s="818">
        <f>SUM(F1104:F1105)</f>
        <v>2764.320305555555</v>
      </c>
      <c r="G1106" s="121"/>
      <c r="H1106" s="121"/>
      <c r="I1106" s="121"/>
      <c r="J1106" s="121"/>
    </row>
    <row r="1107" spans="2:10" s="149" customFormat="1" hidden="1">
      <c r="B1107" s="147" t="s">
        <v>1182</v>
      </c>
      <c r="C1107" s="816"/>
      <c r="D1107" s="817"/>
      <c r="E1107" s="818" t="s">
        <v>117</v>
      </c>
      <c r="F1107" s="818">
        <f>F1106</f>
        <v>2764.320305555555</v>
      </c>
      <c r="G1107" s="121"/>
      <c r="H1107" s="121"/>
      <c r="I1107" s="121"/>
      <c r="J1107" s="121"/>
    </row>
    <row r="1108" spans="2:10" s="149" customFormat="1" hidden="1">
      <c r="B1108" s="147" t="s">
        <v>457</v>
      </c>
      <c r="C1108" s="816"/>
      <c r="D1108" s="817"/>
      <c r="E1108" s="818"/>
      <c r="F1108" s="818">
        <f>F1107*0.01</f>
        <v>27.643203055555549</v>
      </c>
      <c r="G1108" s="121"/>
      <c r="H1108" s="121"/>
      <c r="I1108" s="121"/>
      <c r="J1108" s="121"/>
    </row>
    <row r="1109" spans="2:10" s="149" customFormat="1" hidden="1">
      <c r="B1109" s="147"/>
      <c r="C1109" s="816"/>
      <c r="D1109" s="817"/>
      <c r="E1109" s="822" t="s">
        <v>458</v>
      </c>
      <c r="F1109" s="818">
        <f>SUM(F1107:F1108)</f>
        <v>2791.9635086111107</v>
      </c>
      <c r="G1109" s="121"/>
      <c r="H1109" s="121"/>
      <c r="I1109" s="121"/>
      <c r="J1109" s="121"/>
    </row>
    <row r="1110" spans="2:10" s="149" customFormat="1" hidden="1">
      <c r="B1110" s="147"/>
      <c r="C1110" s="816"/>
      <c r="D1110" s="817"/>
      <c r="E1110" s="822" t="s">
        <v>120</v>
      </c>
      <c r="F1110" s="822">
        <f>ROUND(F1109,1)</f>
        <v>2792</v>
      </c>
      <c r="G1110" s="121"/>
      <c r="H1110" s="121"/>
      <c r="I1110" s="121"/>
      <c r="J1110" s="121"/>
    </row>
    <row r="1111" spans="2:10" s="149" customFormat="1" hidden="1">
      <c r="B1111" s="147"/>
      <c r="C1111" s="816"/>
      <c r="D1111" s="817"/>
      <c r="E1111" s="818"/>
      <c r="F1111" s="818"/>
      <c r="G1111" s="121"/>
      <c r="H1111" s="121"/>
      <c r="I1111" s="121"/>
      <c r="J1111" s="121"/>
    </row>
    <row r="1112" spans="2:10" s="149" customFormat="1" hidden="1">
      <c r="B1112" s="414" t="s">
        <v>1183</v>
      </c>
      <c r="C1112" s="816"/>
      <c r="D1112" s="817"/>
      <c r="E1112" s="818"/>
      <c r="F1112" s="818"/>
      <c r="G1112" s="121"/>
      <c r="H1112" s="121"/>
      <c r="I1112" s="121"/>
      <c r="J1112" s="121"/>
    </row>
    <row r="1113" spans="2:10" s="149" customFormat="1" hidden="1">
      <c r="B1113" s="147" t="s">
        <v>1184</v>
      </c>
      <c r="C1113" s="816"/>
      <c r="D1113" s="817"/>
      <c r="E1113" s="818"/>
      <c r="F1113" s="818">
        <f>F1109</f>
        <v>2791.9635086111107</v>
      </c>
      <c r="G1113" s="121"/>
      <c r="H1113" s="121"/>
      <c r="I1113" s="121"/>
      <c r="J1113" s="121"/>
    </row>
    <row r="1114" spans="2:10" s="149" customFormat="1" hidden="1">
      <c r="B1114" s="147" t="s">
        <v>1185</v>
      </c>
      <c r="C1114" s="816"/>
      <c r="D1114" s="817"/>
      <c r="E1114" s="818"/>
      <c r="F1114" s="818">
        <f>SUM(F1093*0.05)</f>
        <v>15.835000000000001</v>
      </c>
      <c r="G1114" s="121"/>
      <c r="H1114" s="121"/>
      <c r="I1114" s="121"/>
      <c r="J1114" s="121"/>
    </row>
    <row r="1115" spans="2:10" s="149" customFormat="1" hidden="1">
      <c r="B1115" s="147" t="s">
        <v>1097</v>
      </c>
      <c r="C1115" s="816"/>
      <c r="D1115" s="817"/>
      <c r="E1115" s="818"/>
      <c r="F1115" s="818">
        <f>F1114*0.075</f>
        <v>1.1876249999999999</v>
      </c>
      <c r="G1115" s="121"/>
      <c r="H1115" s="121"/>
      <c r="I1115" s="121"/>
      <c r="J1115" s="121"/>
    </row>
    <row r="1116" spans="2:10" s="149" customFormat="1" hidden="1">
      <c r="B1116" s="147" t="s">
        <v>1178</v>
      </c>
      <c r="C1116" s="816"/>
      <c r="D1116" s="817"/>
      <c r="E1116" s="818"/>
      <c r="F1116" s="818">
        <f>F1114*0.075</f>
        <v>1.1876249999999999</v>
      </c>
      <c r="G1116" s="121"/>
      <c r="H1116" s="121"/>
      <c r="I1116" s="121"/>
      <c r="J1116" s="121"/>
    </row>
    <row r="1117" spans="2:10" s="149" customFormat="1" hidden="1">
      <c r="B1117" s="147" t="s">
        <v>1186</v>
      </c>
      <c r="C1117" s="816"/>
      <c r="D1117" s="817"/>
      <c r="E1117" s="818"/>
      <c r="F1117" s="818">
        <f>SUM(F1114:F1116)*0.01</f>
        <v>0.18210250000000003</v>
      </c>
      <c r="G1117" s="121"/>
      <c r="H1117" s="121"/>
      <c r="I1117" s="121"/>
      <c r="J1117" s="121"/>
    </row>
    <row r="1118" spans="2:10" s="149" customFormat="1" hidden="1">
      <c r="B1118" s="147"/>
      <c r="C1118" s="816"/>
      <c r="D1118" s="817"/>
      <c r="E1118" s="818" t="s">
        <v>117</v>
      </c>
      <c r="F1118" s="821">
        <f>SUM(F1113:F1117)</f>
        <v>2810.3558611111107</v>
      </c>
      <c r="G1118" s="121"/>
      <c r="H1118" s="121"/>
      <c r="I1118" s="121"/>
      <c r="J1118" s="121"/>
    </row>
    <row r="1119" spans="2:10" s="149" customFormat="1" hidden="1">
      <c r="B1119" s="147"/>
      <c r="C1119" s="816"/>
      <c r="D1119" s="817"/>
      <c r="E1119" s="822" t="s">
        <v>120</v>
      </c>
      <c r="F1119" s="822">
        <f>ROUND(F1118,1)</f>
        <v>2810.4</v>
      </c>
      <c r="G1119" s="121"/>
      <c r="H1119" s="121"/>
      <c r="I1119" s="121"/>
      <c r="J1119" s="121"/>
    </row>
    <row r="1120" spans="2:10" s="149" customFormat="1" hidden="1">
      <c r="B1120" s="414" t="s">
        <v>1187</v>
      </c>
      <c r="C1120" s="816"/>
      <c r="D1120" s="817"/>
      <c r="E1120" s="818"/>
      <c r="F1120" s="818"/>
      <c r="G1120" s="121"/>
      <c r="H1120" s="121"/>
      <c r="I1120" s="121"/>
      <c r="J1120" s="121"/>
    </row>
    <row r="1121" spans="1:10" s="149" customFormat="1" hidden="1">
      <c r="B1121" s="147" t="s">
        <v>1184</v>
      </c>
      <c r="C1121" s="816"/>
      <c r="D1121" s="817"/>
      <c r="E1121" s="818"/>
      <c r="F1121" s="818">
        <f>F1118</f>
        <v>2810.3558611111107</v>
      </c>
      <c r="G1121" s="121"/>
      <c r="H1121" s="121"/>
      <c r="I1121" s="121"/>
      <c r="J1121" s="121"/>
    </row>
    <row r="1122" spans="1:10" s="149" customFormat="1" hidden="1">
      <c r="B1122" s="147" t="s">
        <v>1185</v>
      </c>
      <c r="C1122" s="816"/>
      <c r="D1122" s="817"/>
      <c r="E1122" s="818"/>
      <c r="F1122" s="818">
        <f>SUM(F1114*1.05)</f>
        <v>16.626750000000001</v>
      </c>
      <c r="G1122" s="121"/>
      <c r="H1122" s="121"/>
      <c r="I1122" s="121"/>
      <c r="J1122" s="121"/>
    </row>
    <row r="1123" spans="1:10" s="149" customFormat="1" hidden="1">
      <c r="B1123" s="147" t="s">
        <v>1097</v>
      </c>
      <c r="C1123" s="816"/>
      <c r="D1123" s="817"/>
      <c r="E1123" s="818"/>
      <c r="F1123" s="818">
        <f>F1122*0.075</f>
        <v>1.2470062500000001</v>
      </c>
      <c r="G1123" s="121"/>
      <c r="H1123" s="121"/>
      <c r="I1123" s="121"/>
      <c r="J1123" s="121"/>
    </row>
    <row r="1124" spans="1:10" s="149" customFormat="1" hidden="1">
      <c r="B1124" s="147" t="s">
        <v>1178</v>
      </c>
      <c r="C1124" s="816"/>
      <c r="D1124" s="817"/>
      <c r="E1124" s="818"/>
      <c r="F1124" s="818">
        <f>F1122*0.075</f>
        <v>1.2470062500000001</v>
      </c>
      <c r="G1124" s="121"/>
      <c r="H1124" s="121"/>
      <c r="I1124" s="121"/>
      <c r="J1124" s="121"/>
    </row>
    <row r="1125" spans="1:10" s="149" customFormat="1" hidden="1">
      <c r="B1125" s="147" t="s">
        <v>1186</v>
      </c>
      <c r="C1125" s="816"/>
      <c r="D1125" s="817"/>
      <c r="E1125" s="818"/>
      <c r="F1125" s="818">
        <f>SUM(F1122:F1124)*0.01</f>
        <v>0.19120762499999999</v>
      </c>
      <c r="G1125" s="121"/>
      <c r="H1125" s="121"/>
      <c r="I1125" s="121"/>
      <c r="J1125" s="121"/>
    </row>
    <row r="1126" spans="1:10" s="149" customFormat="1" hidden="1">
      <c r="B1126" s="147"/>
      <c r="C1126" s="816"/>
      <c r="D1126" s="817"/>
      <c r="E1126" s="818" t="s">
        <v>117</v>
      </c>
      <c r="F1126" s="821">
        <f>SUM(F1121:F1125)</f>
        <v>2829.6678312361109</v>
      </c>
      <c r="G1126" s="121"/>
      <c r="H1126" s="121"/>
      <c r="I1126" s="121"/>
      <c r="J1126" s="121"/>
    </row>
    <row r="1127" spans="1:10" s="149" customFormat="1" hidden="1">
      <c r="B1127" s="147"/>
      <c r="C1127" s="816"/>
      <c r="D1127" s="817"/>
      <c r="E1127" s="822" t="s">
        <v>120</v>
      </c>
      <c r="F1127" s="822">
        <f>ROUND(F1126,1)</f>
        <v>2829.7</v>
      </c>
      <c r="G1127" s="121"/>
      <c r="H1127" s="121"/>
      <c r="I1127" s="121"/>
      <c r="J1127" s="121"/>
    </row>
    <row r="1128" spans="1:10" s="149" customFormat="1" hidden="1">
      <c r="C1128" s="121"/>
      <c r="D1128" s="121"/>
      <c r="E1128" s="121"/>
      <c r="F1128" s="121"/>
      <c r="G1128" s="121"/>
      <c r="H1128" s="121"/>
      <c r="I1128" s="121"/>
      <c r="J1128" s="121"/>
    </row>
    <row r="1129" spans="1:10" s="149" customFormat="1">
      <c r="C1129" s="121"/>
      <c r="D1129" s="121"/>
      <c r="E1129" s="121"/>
      <c r="F1129" s="121"/>
      <c r="G1129" s="121"/>
      <c r="H1129" s="121"/>
      <c r="I1129" s="121"/>
      <c r="J1129" s="121"/>
    </row>
    <row r="1130" spans="1:10" s="20" customFormat="1" ht="138" customHeight="1">
      <c r="A1130" s="5">
        <v>33</v>
      </c>
      <c r="B1130" s="372" t="s">
        <v>1058</v>
      </c>
      <c r="C1130" s="140"/>
      <c r="D1130" s="4"/>
      <c r="E1130" s="59"/>
      <c r="F1130" s="139"/>
      <c r="G1130" s="4"/>
      <c r="H1130" s="4"/>
    </row>
    <row r="1131" spans="1:10" s="20" customFormat="1">
      <c r="A1131" s="5"/>
      <c r="B1131" s="3" t="s">
        <v>1062</v>
      </c>
      <c r="C1131" s="140"/>
      <c r="D1131" s="4"/>
      <c r="E1131" s="59"/>
      <c r="F1131" s="139"/>
      <c r="G1131" s="4"/>
      <c r="H1131" s="4"/>
    </row>
    <row r="1132" spans="1:10" s="20" customFormat="1">
      <c r="A1132" s="5"/>
      <c r="B1132" s="3" t="s">
        <v>28</v>
      </c>
      <c r="C1132" s="140"/>
      <c r="D1132" s="4"/>
      <c r="E1132" s="59"/>
      <c r="F1132" s="139"/>
      <c r="G1132" s="4"/>
      <c r="H1132" s="4"/>
    </row>
    <row r="1133" spans="1:10" s="20" customFormat="1">
      <c r="A1133" s="5"/>
      <c r="B1133" s="179" t="s">
        <v>1063</v>
      </c>
      <c r="C1133" s="16">
        <v>1.05</v>
      </c>
      <c r="D1133" s="4" t="s">
        <v>18</v>
      </c>
      <c r="E1133" s="4"/>
      <c r="F1133" s="59"/>
      <c r="G1133" s="4"/>
      <c r="H1133" s="4"/>
    </row>
    <row r="1134" spans="1:10" s="20" customFormat="1">
      <c r="A1134" s="5"/>
      <c r="B1134" s="32" t="s">
        <v>1064</v>
      </c>
      <c r="C1134" s="16">
        <v>2.6890000000000001</v>
      </c>
      <c r="D1134" s="4" t="s">
        <v>18</v>
      </c>
      <c r="E1134" s="59"/>
      <c r="F1134" s="59"/>
      <c r="G1134" s="4"/>
      <c r="H1134" s="4"/>
    </row>
    <row r="1135" spans="1:10" s="20" customFormat="1">
      <c r="A1135" s="5"/>
      <c r="B1135" s="32" t="s">
        <v>1065</v>
      </c>
      <c r="C1135" s="16">
        <v>1.4616</v>
      </c>
      <c r="D1135" s="4" t="s">
        <v>18</v>
      </c>
      <c r="E1135" s="59"/>
      <c r="F1135" s="59"/>
      <c r="G1135" s="4"/>
      <c r="H1135" s="4"/>
    </row>
    <row r="1136" spans="1:10" s="20" customFormat="1">
      <c r="A1136" s="5"/>
      <c r="B1136" s="32" t="s">
        <v>1066</v>
      </c>
      <c r="C1136" s="16">
        <v>0.91</v>
      </c>
      <c r="D1136" s="4" t="s">
        <v>18</v>
      </c>
      <c r="E1136" s="59"/>
      <c r="F1136" s="59"/>
      <c r="G1136" s="4"/>
      <c r="H1136" s="4"/>
    </row>
    <row r="1137" spans="1:8" s="20" customFormat="1">
      <c r="A1137" s="5"/>
      <c r="B1137" s="32" t="s">
        <v>1067</v>
      </c>
      <c r="C1137" s="16">
        <v>1.1739999999999999</v>
      </c>
      <c r="D1137" s="4" t="s">
        <v>18</v>
      </c>
      <c r="E1137" s="59"/>
      <c r="F1137" s="59"/>
      <c r="G1137" s="4"/>
      <c r="H1137" s="4"/>
    </row>
    <row r="1138" spans="1:8" s="20" customFormat="1">
      <c r="A1138" s="5"/>
      <c r="B1138" s="3"/>
      <c r="C1138" s="141" t="s">
        <v>274</v>
      </c>
      <c r="D1138" s="4"/>
      <c r="E1138" s="59"/>
      <c r="F1138" s="59"/>
      <c r="G1138" s="4"/>
      <c r="H1138" s="4"/>
    </row>
    <row r="1139" spans="1:8" s="20" customFormat="1">
      <c r="A1139" s="5"/>
      <c r="B1139" s="3"/>
      <c r="C1139" s="16">
        <f>SUM(C1133:C1137)</f>
        <v>7.2845999999999993</v>
      </c>
      <c r="D1139" s="4"/>
      <c r="E1139" s="59"/>
      <c r="F1139" s="59"/>
      <c r="G1139" s="4"/>
      <c r="H1139" s="4"/>
    </row>
    <row r="1140" spans="1:8" s="20" customFormat="1">
      <c r="A1140" s="5"/>
      <c r="B1140" s="3" t="s">
        <v>300</v>
      </c>
      <c r="C1140" s="16">
        <f>C1139*5%</f>
        <v>0.36423</v>
      </c>
      <c r="D1140" s="4"/>
      <c r="E1140" s="59"/>
      <c r="F1140" s="59"/>
      <c r="G1140" s="4"/>
      <c r="H1140" s="4"/>
    </row>
    <row r="1141" spans="1:8" s="20" customFormat="1">
      <c r="A1141" s="5"/>
      <c r="B1141" s="3"/>
      <c r="C1141" s="141" t="s">
        <v>274</v>
      </c>
      <c r="D1141" s="4"/>
      <c r="E1141" s="59"/>
      <c r="F1141" s="59"/>
      <c r="G1141" s="4"/>
      <c r="H1141" s="4"/>
    </row>
    <row r="1142" spans="1:8" s="20" customFormat="1">
      <c r="A1142" s="5"/>
      <c r="B1142" s="3"/>
      <c r="C1142" s="16">
        <f>C1139+C1140</f>
        <v>7.6488299999999994</v>
      </c>
      <c r="D1142" s="4" t="s">
        <v>18</v>
      </c>
      <c r="E1142" s="59">
        <v>240</v>
      </c>
      <c r="F1142" s="59">
        <f>E1142*C1142</f>
        <v>1835.7191999999998</v>
      </c>
      <c r="G1142" s="4"/>
      <c r="H1142" s="4"/>
    </row>
    <row r="1143" spans="1:8" s="20" customFormat="1">
      <c r="A1143" s="5"/>
      <c r="B1143" s="3" t="s">
        <v>301</v>
      </c>
      <c r="C1143" s="16">
        <v>8</v>
      </c>
      <c r="D1143" s="4" t="s">
        <v>302</v>
      </c>
      <c r="E1143" s="59">
        <v>1.5</v>
      </c>
      <c r="F1143" s="59">
        <f>E1143*C1143</f>
        <v>12</v>
      </c>
      <c r="G1143" s="4"/>
      <c r="H1143" s="4"/>
    </row>
    <row r="1144" spans="1:8" s="20" customFormat="1">
      <c r="A1144" s="5"/>
      <c r="B1144" s="3" t="s">
        <v>303</v>
      </c>
      <c r="C1144" s="16"/>
      <c r="D1144" s="4" t="s">
        <v>29</v>
      </c>
      <c r="E1144" s="59"/>
      <c r="F1144" s="59">
        <v>30</v>
      </c>
      <c r="G1144" s="4"/>
      <c r="H1144" s="4"/>
    </row>
    <row r="1145" spans="1:8" s="20" customFormat="1">
      <c r="A1145" s="5"/>
      <c r="B1145" s="3" t="s">
        <v>304</v>
      </c>
      <c r="C1145" s="16">
        <v>7.5</v>
      </c>
      <c r="D1145" s="4" t="s">
        <v>31</v>
      </c>
      <c r="E1145" s="59">
        <v>15</v>
      </c>
      <c r="F1145" s="59">
        <f t="shared" ref="F1145:F1150" si="0">E1145*C1145</f>
        <v>112.5</v>
      </c>
      <c r="G1145" s="4"/>
      <c r="H1145" s="4"/>
    </row>
    <row r="1146" spans="1:8" s="20" customFormat="1">
      <c r="A1146" s="5"/>
      <c r="B1146" s="179" t="s">
        <v>1068</v>
      </c>
      <c r="C1146" s="16">
        <v>7.5</v>
      </c>
      <c r="D1146" s="4" t="s">
        <v>31</v>
      </c>
      <c r="E1146" s="59">
        <v>10</v>
      </c>
      <c r="F1146" s="59">
        <f t="shared" si="0"/>
        <v>75</v>
      </c>
      <c r="G1146" s="4"/>
      <c r="H1146" s="4"/>
    </row>
    <row r="1147" spans="1:8" s="20" customFormat="1">
      <c r="A1147" s="5"/>
      <c r="B1147" s="179" t="s">
        <v>309</v>
      </c>
      <c r="C1147" s="16">
        <v>1.64</v>
      </c>
      <c r="D1147" s="4" t="s">
        <v>836</v>
      </c>
      <c r="E1147" s="59">
        <v>605</v>
      </c>
      <c r="F1147" s="59">
        <f t="shared" si="0"/>
        <v>992.19999999999993</v>
      </c>
      <c r="G1147" s="4"/>
      <c r="H1147" s="4"/>
    </row>
    <row r="1148" spans="1:8" s="20" customFormat="1">
      <c r="A1148" s="5"/>
      <c r="B1148" s="3" t="s">
        <v>305</v>
      </c>
      <c r="C1148" s="16">
        <v>8</v>
      </c>
      <c r="D1148" s="4" t="s">
        <v>302</v>
      </c>
      <c r="E1148" s="59">
        <v>25</v>
      </c>
      <c r="F1148" s="59">
        <f t="shared" si="0"/>
        <v>200</v>
      </c>
      <c r="G1148" s="4"/>
      <c r="H1148" s="4"/>
    </row>
    <row r="1149" spans="1:8" s="20" customFormat="1">
      <c r="A1149" s="5"/>
      <c r="B1149" s="3" t="s">
        <v>306</v>
      </c>
      <c r="C1149" s="16">
        <v>2</v>
      </c>
      <c r="D1149" s="4" t="s">
        <v>302</v>
      </c>
      <c r="E1149" s="59">
        <v>40</v>
      </c>
      <c r="F1149" s="59">
        <f t="shared" si="0"/>
        <v>80</v>
      </c>
      <c r="G1149" s="4"/>
      <c r="H1149" s="4"/>
    </row>
    <row r="1150" spans="1:8" s="20" customFormat="1">
      <c r="A1150" s="5"/>
      <c r="B1150" s="142" t="s">
        <v>307</v>
      </c>
      <c r="C1150" s="16">
        <v>1</v>
      </c>
      <c r="D1150" s="4" t="s">
        <v>308</v>
      </c>
      <c r="E1150" s="59">
        <v>100</v>
      </c>
      <c r="F1150" s="59">
        <f t="shared" si="0"/>
        <v>100</v>
      </c>
      <c r="G1150" s="4"/>
      <c r="H1150" s="4"/>
    </row>
    <row r="1151" spans="1:8" s="20" customFormat="1">
      <c r="A1151" s="5"/>
      <c r="B1151" s="143" t="s">
        <v>111</v>
      </c>
      <c r="C1151" s="140"/>
      <c r="D1151" s="4"/>
      <c r="E1151" s="59"/>
      <c r="F1151" s="59"/>
      <c r="G1151" s="4"/>
      <c r="H1151" s="4"/>
    </row>
    <row r="1152" spans="1:8" s="20" customFormat="1">
      <c r="A1152" s="5"/>
      <c r="B1152" s="3" t="s">
        <v>311</v>
      </c>
      <c r="C1152" s="4">
        <v>0.5</v>
      </c>
      <c r="D1152" s="4" t="s">
        <v>302</v>
      </c>
      <c r="E1152" s="16">
        <f>Lead!E66</f>
        <v>260</v>
      </c>
      <c r="F1152" s="59">
        <f>E1152*C1152</f>
        <v>130</v>
      </c>
      <c r="G1152" s="4"/>
      <c r="H1152" s="4"/>
    </row>
    <row r="1153" spans="1:10" s="20" customFormat="1">
      <c r="A1153" s="5"/>
      <c r="B1153" s="3" t="s">
        <v>1069</v>
      </c>
      <c r="C1153" s="4">
        <v>0.5</v>
      </c>
      <c r="D1153" s="4" t="s">
        <v>302</v>
      </c>
      <c r="E1153" s="59">
        <f>Lead!J52</f>
        <v>220</v>
      </c>
      <c r="F1153" s="59">
        <f>E1153*C1153</f>
        <v>110</v>
      </c>
      <c r="G1153" s="4"/>
      <c r="H1153" s="4"/>
    </row>
    <row r="1154" spans="1:10" s="20" customFormat="1">
      <c r="A1154" s="5"/>
      <c r="B1154" s="3" t="s">
        <v>312</v>
      </c>
      <c r="C1154" s="4">
        <v>1.5</v>
      </c>
      <c r="D1154" s="4" t="s">
        <v>302</v>
      </c>
      <c r="E1154" s="16">
        <f>Lead!J52</f>
        <v>220</v>
      </c>
      <c r="F1154" s="59">
        <f>E1154*C1154</f>
        <v>330</v>
      </c>
      <c r="G1154" s="4"/>
      <c r="H1154" s="4"/>
    </row>
    <row r="1155" spans="1:10" s="20" customFormat="1">
      <c r="A1155" s="5"/>
      <c r="B1155" s="3" t="s">
        <v>51</v>
      </c>
      <c r="C1155" s="4">
        <v>1.5</v>
      </c>
      <c r="D1155" s="4" t="s">
        <v>302</v>
      </c>
      <c r="E1155" s="59">
        <f>Lead!E47</f>
        <v>200</v>
      </c>
      <c r="F1155" s="59">
        <f>E1155*C1155</f>
        <v>300</v>
      </c>
      <c r="G1155" s="4"/>
      <c r="H1155" s="4"/>
    </row>
    <row r="1156" spans="1:10" s="20" customFormat="1">
      <c r="A1156" s="5"/>
      <c r="B1156" s="30" t="s">
        <v>1061</v>
      </c>
      <c r="C1156" s="4"/>
      <c r="D1156" s="4" t="s">
        <v>116</v>
      </c>
      <c r="E1156" s="59">
        <f>SUM(F1142:F1155)</f>
        <v>4307.4191999999994</v>
      </c>
      <c r="F1156" s="59">
        <f>E1156*0.15</f>
        <v>646.1128799999999</v>
      </c>
      <c r="G1156" s="4"/>
      <c r="H1156" s="4"/>
    </row>
    <row r="1157" spans="1:10" s="20" customFormat="1">
      <c r="A1157" s="5"/>
      <c r="B1157" s="3" t="s">
        <v>117</v>
      </c>
      <c r="C1157" s="135"/>
      <c r="D1157" s="4"/>
      <c r="E1157" s="59"/>
      <c r="F1157" s="59">
        <f>SUM(F1142:F1156)</f>
        <v>4953.532079999999</v>
      </c>
      <c r="G1157" s="4"/>
      <c r="H1157" s="4"/>
    </row>
    <row r="1158" spans="1:10" s="20" customFormat="1">
      <c r="A1158" s="5"/>
      <c r="B1158" s="3" t="s">
        <v>339</v>
      </c>
      <c r="C1158" s="135"/>
      <c r="D1158" s="4"/>
      <c r="E1158" s="59"/>
      <c r="F1158" s="59">
        <f>F1157/7.28</f>
        <v>680.43023076923066</v>
      </c>
      <c r="G1158" s="4"/>
      <c r="H1158" s="4"/>
    </row>
    <row r="1159" spans="1:10" s="20" customFormat="1">
      <c r="A1159" s="5"/>
      <c r="B1159" s="371" t="s">
        <v>493</v>
      </c>
      <c r="C1159" s="4"/>
      <c r="D1159" s="4"/>
      <c r="E1159" s="4"/>
      <c r="F1159" s="823">
        <f>F1158*0.01</f>
        <v>6.804302307692307</v>
      </c>
      <c r="G1159" s="4"/>
      <c r="H1159" s="4"/>
    </row>
    <row r="1160" spans="1:10" s="20" customFormat="1">
      <c r="A1160" s="5"/>
      <c r="B1160" s="371" t="s">
        <v>117</v>
      </c>
      <c r="C1160" s="4"/>
      <c r="D1160" s="4"/>
      <c r="E1160" s="4"/>
      <c r="F1160" s="59">
        <f>SUM(F1158:F1159)</f>
        <v>687.23453307692296</v>
      </c>
      <c r="G1160" s="4"/>
      <c r="H1160" s="4"/>
    </row>
    <row r="1161" spans="1:10" s="20" customFormat="1">
      <c r="A1161" s="5"/>
      <c r="B1161" s="131"/>
      <c r="C1161" s="135"/>
      <c r="D1161" s="135"/>
      <c r="E1161" s="135" t="s">
        <v>120</v>
      </c>
      <c r="F1161" s="140">
        <f>ROUND(F1160,1)</f>
        <v>687.2</v>
      </c>
      <c r="G1161" s="4"/>
      <c r="H1161" s="4"/>
    </row>
    <row r="1162" spans="1:10" s="149" customFormat="1">
      <c r="C1162" s="121"/>
      <c r="D1162" s="121"/>
      <c r="E1162" s="121"/>
      <c r="F1162" s="121"/>
      <c r="G1162" s="121"/>
      <c r="H1162" s="121"/>
      <c r="I1162" s="121"/>
      <c r="J1162" s="121"/>
    </row>
    <row r="1163" spans="1:10" s="149" customFormat="1">
      <c r="C1163" s="121"/>
      <c r="D1163" s="121"/>
      <c r="E1163" s="121"/>
      <c r="F1163" s="121"/>
      <c r="G1163" s="121"/>
      <c r="H1163" s="121"/>
      <c r="I1163" s="121"/>
      <c r="J1163" s="121"/>
    </row>
    <row r="1164" spans="1:10" s="20" customFormat="1" ht="137.25" customHeight="1">
      <c r="A1164" s="133">
        <v>34</v>
      </c>
      <c r="B1164" s="129" t="s">
        <v>444</v>
      </c>
      <c r="C1164" s="4"/>
      <c r="D1164" s="4"/>
      <c r="E1164" s="4"/>
      <c r="F1164" s="4"/>
      <c r="G1164" s="4"/>
      <c r="H1164" s="4"/>
    </row>
    <row r="1165" spans="1:10" s="20" customFormat="1">
      <c r="A1165" s="4"/>
      <c r="B1165" s="19" t="s">
        <v>1070</v>
      </c>
      <c r="C1165" s="373"/>
      <c r="D1165" s="4"/>
      <c r="E1165" s="16"/>
      <c r="F1165" s="16"/>
      <c r="G1165" s="4"/>
      <c r="H1165" s="4"/>
    </row>
    <row r="1166" spans="1:10" s="20" customFormat="1">
      <c r="A1166" s="4"/>
      <c r="B1166" s="136" t="s">
        <v>445</v>
      </c>
      <c r="C1166" s="373"/>
      <c r="D1166" s="4"/>
      <c r="E1166" s="16"/>
      <c r="F1166" s="16"/>
      <c r="G1166" s="4"/>
      <c r="H1166" s="4"/>
    </row>
    <row r="1167" spans="1:10" s="20" customFormat="1">
      <c r="A1167" s="4"/>
      <c r="B1167" s="19" t="s">
        <v>446</v>
      </c>
      <c r="C1167" s="373">
        <v>11.97</v>
      </c>
      <c r="D1167" s="4" t="s">
        <v>447</v>
      </c>
      <c r="E1167" s="16"/>
      <c r="F1167" s="16"/>
      <c r="G1167" s="4"/>
      <c r="H1167" s="4"/>
    </row>
    <row r="1168" spans="1:10" s="20" customFormat="1">
      <c r="A1168" s="4"/>
      <c r="B1168" s="19" t="s">
        <v>448</v>
      </c>
      <c r="C1168" s="373">
        <v>6.21</v>
      </c>
      <c r="D1168" s="4" t="s">
        <v>447</v>
      </c>
      <c r="E1168" s="16"/>
      <c r="F1168" s="16"/>
      <c r="G1168" s="4"/>
      <c r="H1168" s="4"/>
    </row>
    <row r="1169" spans="1:8" s="20" customFormat="1">
      <c r="A1169" s="4"/>
      <c r="B1169" s="19" t="s">
        <v>449</v>
      </c>
      <c r="C1169" s="373">
        <v>5.9</v>
      </c>
      <c r="D1169" s="4" t="s">
        <v>447</v>
      </c>
      <c r="E1169" s="16"/>
      <c r="F1169" s="16"/>
      <c r="G1169" s="4"/>
      <c r="H1169" s="4"/>
    </row>
    <row r="1170" spans="1:8" s="20" customFormat="1">
      <c r="A1170" s="4"/>
      <c r="B1170" s="19" t="s">
        <v>1071</v>
      </c>
      <c r="C1170" s="373">
        <v>0.31</v>
      </c>
      <c r="D1170" s="4" t="s">
        <v>447</v>
      </c>
      <c r="E1170" s="16"/>
      <c r="F1170" s="16"/>
      <c r="G1170" s="4"/>
      <c r="H1170" s="16"/>
    </row>
    <row r="1171" spans="1:8" s="20" customFormat="1">
      <c r="A1171" s="4"/>
      <c r="B1171" s="19" t="s">
        <v>450</v>
      </c>
      <c r="C1171" s="373">
        <v>24.389999999999997</v>
      </c>
      <c r="D1171" s="4" t="s">
        <v>447</v>
      </c>
      <c r="E1171" s="4"/>
      <c r="F1171" s="4"/>
      <c r="G1171" s="4"/>
      <c r="H1171" s="16"/>
    </row>
    <row r="1172" spans="1:8" s="20" customFormat="1">
      <c r="A1172" s="4"/>
      <c r="B1172" s="19" t="s">
        <v>1072</v>
      </c>
      <c r="C1172" s="373">
        <v>1.22</v>
      </c>
      <c r="D1172" s="4" t="s">
        <v>447</v>
      </c>
      <c r="E1172" s="16"/>
      <c r="F1172" s="16"/>
      <c r="G1172" s="4"/>
      <c r="H1172" s="16"/>
    </row>
    <row r="1173" spans="1:8" s="20" customFormat="1">
      <c r="A1173" s="4"/>
      <c r="B1173" s="19"/>
      <c r="C1173" s="373">
        <v>25.609999999999996</v>
      </c>
      <c r="D1173" s="4" t="s">
        <v>447</v>
      </c>
      <c r="E1173" s="16">
        <v>240</v>
      </c>
      <c r="F1173" s="16">
        <f t="shared" ref="F1173:F1178" si="1">E1173*C1173</f>
        <v>6146.3999999999987</v>
      </c>
      <c r="G1173" s="4"/>
      <c r="H1173" s="4"/>
    </row>
    <row r="1174" spans="1:8" s="20" customFormat="1">
      <c r="A1174" s="4"/>
      <c r="B1174" s="19" t="s">
        <v>451</v>
      </c>
      <c r="C1174" s="373">
        <v>34.94</v>
      </c>
      <c r="D1174" s="4" t="s">
        <v>452</v>
      </c>
      <c r="E1174" s="16">
        <v>10</v>
      </c>
      <c r="F1174" s="16">
        <f t="shared" si="1"/>
        <v>349.4</v>
      </c>
      <c r="G1174" s="4"/>
      <c r="H1174" s="4"/>
    </row>
    <row r="1175" spans="1:8" s="20" customFormat="1">
      <c r="A1175" s="4"/>
      <c r="B1175" s="19" t="s">
        <v>453</v>
      </c>
      <c r="C1175" s="373">
        <v>40</v>
      </c>
      <c r="D1175" s="4" t="s">
        <v>454</v>
      </c>
      <c r="E1175" s="16">
        <v>7</v>
      </c>
      <c r="F1175" s="16">
        <f t="shared" si="1"/>
        <v>280</v>
      </c>
      <c r="G1175" s="4"/>
      <c r="H1175" s="4"/>
    </row>
    <row r="1176" spans="1:8" s="20" customFormat="1">
      <c r="A1176" s="4"/>
      <c r="B1176" s="19" t="s">
        <v>1073</v>
      </c>
      <c r="C1176" s="373">
        <v>10</v>
      </c>
      <c r="D1176" s="4" t="s">
        <v>454</v>
      </c>
      <c r="E1176" s="16">
        <v>2</v>
      </c>
      <c r="F1176" s="16">
        <f t="shared" si="1"/>
        <v>20</v>
      </c>
      <c r="G1176" s="4"/>
      <c r="H1176" s="4"/>
    </row>
    <row r="1177" spans="1:8" s="20" customFormat="1">
      <c r="A1177" s="4"/>
      <c r="B1177" s="19" t="s">
        <v>1074</v>
      </c>
      <c r="C1177" s="373">
        <v>30</v>
      </c>
      <c r="D1177" s="4" t="s">
        <v>454</v>
      </c>
      <c r="E1177" s="16">
        <v>0.64</v>
      </c>
      <c r="F1177" s="16">
        <f t="shared" si="1"/>
        <v>19.2</v>
      </c>
      <c r="G1177" s="4"/>
      <c r="H1177" s="4"/>
    </row>
    <row r="1178" spans="1:8" s="20" customFormat="1">
      <c r="A1178" s="4"/>
      <c r="B1178" s="19" t="s">
        <v>455</v>
      </c>
      <c r="C1178" s="373">
        <v>2</v>
      </c>
      <c r="D1178" s="4" t="s">
        <v>391</v>
      </c>
      <c r="E1178" s="16">
        <v>128</v>
      </c>
      <c r="F1178" s="16">
        <f t="shared" si="1"/>
        <v>256</v>
      </c>
      <c r="G1178" s="4"/>
      <c r="H1178" s="4"/>
    </row>
    <row r="1179" spans="1:8" s="20" customFormat="1">
      <c r="A1179" s="4"/>
      <c r="B1179" s="19"/>
      <c r="C1179" s="373"/>
      <c r="D1179" s="4"/>
      <c r="E1179" s="16"/>
      <c r="F1179" s="16">
        <f>SUM(F1173:F1178)</f>
        <v>7070.9999999999982</v>
      </c>
      <c r="G1179" s="4"/>
      <c r="H1179" s="4"/>
    </row>
    <row r="1180" spans="1:8" s="20" customFormat="1">
      <c r="A1180" s="4"/>
      <c r="B1180" s="136" t="s">
        <v>456</v>
      </c>
      <c r="C1180" s="373"/>
      <c r="D1180" s="4"/>
      <c r="E1180" s="16"/>
      <c r="F1180" s="16"/>
      <c r="G1180" s="4"/>
      <c r="H1180" s="4"/>
    </row>
    <row r="1181" spans="1:8" s="20" customFormat="1">
      <c r="A1181" s="4"/>
      <c r="B1181" s="19" t="s">
        <v>1075</v>
      </c>
      <c r="C1181" s="373">
        <v>1.5</v>
      </c>
      <c r="D1181" s="4" t="s">
        <v>454</v>
      </c>
      <c r="E1181" s="16">
        <f>Lead!E66</f>
        <v>260</v>
      </c>
      <c r="F1181" s="16">
        <f>E1181*C1181</f>
        <v>390</v>
      </c>
      <c r="G1181" s="4"/>
      <c r="H1181" s="4"/>
    </row>
    <row r="1182" spans="1:8" s="20" customFormat="1">
      <c r="A1182" s="4"/>
      <c r="B1182" s="19" t="s">
        <v>1076</v>
      </c>
      <c r="C1182" s="373">
        <v>1.5</v>
      </c>
      <c r="D1182" s="4" t="s">
        <v>454</v>
      </c>
      <c r="E1182" s="16">
        <f>Lead!J52</f>
        <v>220</v>
      </c>
      <c r="F1182" s="16">
        <f>E1182*C1182</f>
        <v>330</v>
      </c>
      <c r="G1182" s="4"/>
      <c r="H1182" s="4"/>
    </row>
    <row r="1183" spans="1:8" s="20" customFormat="1">
      <c r="A1183" s="4"/>
      <c r="B1183" s="19" t="s">
        <v>1077</v>
      </c>
      <c r="C1183" s="373">
        <v>3.3</v>
      </c>
      <c r="D1183" s="4" t="s">
        <v>454</v>
      </c>
      <c r="E1183" s="16">
        <f>Lead!J52</f>
        <v>220</v>
      </c>
      <c r="F1183" s="16">
        <f>E1183*C1183</f>
        <v>726</v>
      </c>
      <c r="G1183" s="4"/>
      <c r="H1183" s="4"/>
    </row>
    <row r="1184" spans="1:8" s="20" customFormat="1">
      <c r="A1184" s="4"/>
      <c r="B1184" s="19" t="s">
        <v>51</v>
      </c>
      <c r="C1184" s="373">
        <v>3.3</v>
      </c>
      <c r="D1184" s="4" t="s">
        <v>454</v>
      </c>
      <c r="E1184" s="16">
        <f>Lead!E47</f>
        <v>200</v>
      </c>
      <c r="F1184" s="16">
        <f>E1184*C1184</f>
        <v>660</v>
      </c>
      <c r="G1184" s="4"/>
      <c r="H1184" s="4"/>
    </row>
    <row r="1185" spans="1:10" s="20" customFormat="1">
      <c r="A1185" s="4"/>
      <c r="B1185" s="19"/>
      <c r="C1185" s="373"/>
      <c r="D1185" s="4"/>
      <c r="E1185" s="16"/>
      <c r="F1185" s="16">
        <f>SUM(F1181:F1184)</f>
        <v>2106</v>
      </c>
      <c r="G1185" s="4"/>
      <c r="H1185" s="4"/>
    </row>
    <row r="1186" spans="1:10" s="20" customFormat="1">
      <c r="A1186" s="4"/>
      <c r="B1186" s="19" t="s">
        <v>1078</v>
      </c>
      <c r="C1186" s="373"/>
      <c r="D1186" s="4"/>
      <c r="E1186" s="16"/>
      <c r="F1186" s="16">
        <f>0.15*(F1179+F1185)</f>
        <v>1376.5499999999997</v>
      </c>
      <c r="G1186" s="4"/>
      <c r="H1186" s="4"/>
    </row>
    <row r="1187" spans="1:10" s="20" customFormat="1">
      <c r="A1187" s="4"/>
      <c r="B1187" s="19" t="s">
        <v>1079</v>
      </c>
      <c r="C1187" s="373"/>
      <c r="D1187" s="4"/>
      <c r="E1187" s="16" t="s">
        <v>117</v>
      </c>
      <c r="F1187" s="16">
        <f>F1179+F1185+F1186</f>
        <v>10553.549999999997</v>
      </c>
      <c r="G1187" s="4" t="s">
        <v>1080</v>
      </c>
      <c r="H1187" s="4"/>
    </row>
    <row r="1188" spans="1:10" s="20" customFormat="1">
      <c r="A1188" s="4"/>
      <c r="B1188" s="19" t="s">
        <v>1081</v>
      </c>
      <c r="C1188" s="373"/>
      <c r="D1188" s="4"/>
      <c r="E1188" s="16"/>
      <c r="F1188" s="16">
        <f>F1187/24.39</f>
        <v>432.69987699876987</v>
      </c>
      <c r="G1188" s="4" t="s">
        <v>1082</v>
      </c>
      <c r="H1188" s="4"/>
    </row>
    <row r="1189" spans="1:10" s="20" customFormat="1">
      <c r="A1189" s="4"/>
      <c r="B1189" s="19" t="s">
        <v>457</v>
      </c>
      <c r="C1189" s="373"/>
      <c r="D1189" s="4"/>
      <c r="E1189" s="16"/>
      <c r="F1189" s="16">
        <f>0.01*F1188</f>
        <v>4.3269987699876991</v>
      </c>
      <c r="G1189" s="4"/>
      <c r="H1189" s="4"/>
    </row>
    <row r="1190" spans="1:10" s="20" customFormat="1">
      <c r="A1190" s="4"/>
      <c r="B1190" s="19"/>
      <c r="C1190" s="373"/>
      <c r="D1190" s="4"/>
      <c r="E1190" s="16" t="s">
        <v>458</v>
      </c>
      <c r="F1190" s="16">
        <f>SUM(F1188:F1189)</f>
        <v>437.02687576875758</v>
      </c>
      <c r="G1190" s="4"/>
      <c r="H1190" s="4"/>
    </row>
    <row r="1191" spans="1:10" s="20" customFormat="1">
      <c r="A1191" s="4"/>
      <c r="B1191" s="19"/>
      <c r="C1191" s="373"/>
      <c r="D1191" s="4"/>
      <c r="E1191" s="140" t="s">
        <v>120</v>
      </c>
      <c r="F1191" s="140">
        <f>ROUND(F1190,0)</f>
        <v>437</v>
      </c>
      <c r="G1191" s="4"/>
      <c r="H1191" s="4"/>
    </row>
    <row r="1192" spans="1:10" s="149" customFormat="1">
      <c r="C1192" s="121"/>
      <c r="D1192" s="121"/>
      <c r="E1192" s="121"/>
      <c r="F1192" s="121"/>
      <c r="G1192" s="121"/>
      <c r="H1192" s="121"/>
      <c r="I1192" s="121"/>
      <c r="J1192" s="121"/>
    </row>
    <row r="1193" spans="1:10" s="149" customFormat="1">
      <c r="C1193" s="121"/>
      <c r="D1193" s="121"/>
      <c r="E1193" s="121"/>
      <c r="F1193" s="121"/>
      <c r="G1193" s="121"/>
      <c r="H1193" s="121"/>
      <c r="I1193" s="121"/>
      <c r="J1193" s="121"/>
    </row>
    <row r="1194" spans="1:10" s="20" customFormat="1" ht="25.5">
      <c r="A1194" s="128">
        <v>35</v>
      </c>
      <c r="B1194" s="137" t="s">
        <v>294</v>
      </c>
      <c r="C1194" s="96" t="s">
        <v>165</v>
      </c>
      <c r="D1194" s="96"/>
      <c r="E1194" s="96"/>
      <c r="F1194" s="16"/>
      <c r="G1194" s="4"/>
      <c r="H1194" s="4"/>
    </row>
    <row r="1195" spans="1:10" s="20" customFormat="1">
      <c r="A1195" s="5" t="s">
        <v>37</v>
      </c>
      <c r="B1195" s="64" t="s">
        <v>70</v>
      </c>
      <c r="C1195" s="777"/>
      <c r="D1195" s="96"/>
      <c r="E1195" s="777"/>
      <c r="F1195" s="777"/>
      <c r="G1195" s="4"/>
      <c r="H1195" s="4"/>
    </row>
    <row r="1196" spans="1:10" s="20" customFormat="1">
      <c r="A1196" s="5"/>
      <c r="B1196" s="19" t="s">
        <v>11</v>
      </c>
      <c r="C1196" s="777"/>
      <c r="D1196" s="777"/>
      <c r="E1196" s="777"/>
      <c r="F1196" s="777"/>
      <c r="G1196" s="4"/>
      <c r="H1196" s="4"/>
    </row>
    <row r="1197" spans="1:10" s="20" customFormat="1">
      <c r="A1197" s="5"/>
      <c r="B1197" s="129" t="s">
        <v>10</v>
      </c>
      <c r="C1197" s="16"/>
      <c r="D1197" s="16"/>
      <c r="E1197" s="16"/>
      <c r="F1197" s="16"/>
      <c r="G1197" s="4"/>
      <c r="H1197" s="4"/>
    </row>
    <row r="1198" spans="1:10" s="20" customFormat="1">
      <c r="A1198" s="5"/>
      <c r="B1198" s="3" t="s">
        <v>47</v>
      </c>
      <c r="C1198" s="16">
        <v>0.5</v>
      </c>
      <c r="D1198" s="16" t="s">
        <v>114</v>
      </c>
      <c r="E1198" s="16">
        <f>Lead!E66</f>
        <v>260</v>
      </c>
      <c r="F1198" s="16">
        <f>E1198*C1198</f>
        <v>130</v>
      </c>
      <c r="G1198" s="4"/>
      <c r="H1198" s="4"/>
    </row>
    <row r="1199" spans="1:10" s="20" customFormat="1">
      <c r="A1199" s="5"/>
      <c r="B1199" s="3" t="s">
        <v>48</v>
      </c>
      <c r="C1199" s="16">
        <v>0.5</v>
      </c>
      <c r="D1199" s="16" t="s">
        <v>114</v>
      </c>
      <c r="E1199" s="16">
        <f>Lead!E47</f>
        <v>200</v>
      </c>
      <c r="F1199" s="16">
        <f>E1199*C1199</f>
        <v>100</v>
      </c>
      <c r="G1199" s="4"/>
      <c r="H1199" s="4"/>
    </row>
    <row r="1200" spans="1:10" s="20" customFormat="1">
      <c r="A1200" s="5"/>
      <c r="B1200" s="15" t="s">
        <v>322</v>
      </c>
      <c r="C1200" s="16"/>
      <c r="D1200" s="16" t="s">
        <v>116</v>
      </c>
      <c r="E1200" s="16">
        <f>SUM(F1198:F1199)</f>
        <v>230</v>
      </c>
      <c r="F1200" s="16">
        <f>E1200*0.075</f>
        <v>17.25</v>
      </c>
      <c r="G1200" s="4"/>
      <c r="H1200" s="4"/>
    </row>
    <row r="1201" spans="1:8" s="20" customFormat="1">
      <c r="A1201" s="5"/>
      <c r="B1201" s="15" t="s">
        <v>323</v>
      </c>
      <c r="C1201" s="16"/>
      <c r="D1201" s="16" t="s">
        <v>116</v>
      </c>
      <c r="E1201" s="16">
        <f>SUM(F1198:F1199)</f>
        <v>230</v>
      </c>
      <c r="F1201" s="16">
        <f>E1201*0.075</f>
        <v>17.25</v>
      </c>
      <c r="G1201" s="4"/>
      <c r="H1201" s="4"/>
    </row>
    <row r="1202" spans="1:8" s="20" customFormat="1">
      <c r="A1202" s="5"/>
      <c r="B1202" s="3" t="s">
        <v>12</v>
      </c>
      <c r="C1202" s="16">
        <v>0.50219999999999998</v>
      </c>
      <c r="D1202" s="16" t="s">
        <v>9</v>
      </c>
      <c r="E1202" s="16">
        <v>123</v>
      </c>
      <c r="F1202" s="16">
        <f>C1202*E1202</f>
        <v>61.770599999999995</v>
      </c>
      <c r="G1202" s="4"/>
      <c r="H1202" s="4"/>
    </row>
    <row r="1203" spans="1:8" s="20" customFormat="1">
      <c r="A1203" s="5"/>
      <c r="B1203" s="63" t="s">
        <v>117</v>
      </c>
      <c r="C1203" s="16"/>
      <c r="D1203" s="16"/>
      <c r="E1203" s="16"/>
      <c r="F1203" s="16">
        <f>SUM(F1198:F1202)</f>
        <v>326.2706</v>
      </c>
      <c r="G1203" s="4"/>
      <c r="H1203" s="4"/>
    </row>
    <row r="1204" spans="1:8" s="20" customFormat="1">
      <c r="A1204" s="5"/>
      <c r="B1204" s="3" t="s">
        <v>50</v>
      </c>
      <c r="C1204" s="16"/>
      <c r="D1204" s="16"/>
      <c r="E1204" s="16"/>
      <c r="F1204" s="16">
        <f>F1203/9.3</f>
        <v>35.082860215053763</v>
      </c>
      <c r="G1204" s="4"/>
      <c r="H1204" s="4"/>
    </row>
    <row r="1205" spans="1:8" s="20" customFormat="1">
      <c r="A1205" s="5"/>
      <c r="B1205" s="129" t="s">
        <v>292</v>
      </c>
      <c r="C1205" s="777"/>
      <c r="D1205" s="777"/>
      <c r="E1205" s="777"/>
      <c r="F1205" s="777"/>
      <c r="G1205" s="4"/>
      <c r="H1205" s="4"/>
    </row>
    <row r="1206" spans="1:8" s="20" customFormat="1">
      <c r="A1206" s="5"/>
      <c r="B1206" s="19" t="s">
        <v>6</v>
      </c>
      <c r="C1206" s="16">
        <v>1.25</v>
      </c>
      <c r="D1206" s="16" t="s">
        <v>114</v>
      </c>
      <c r="E1206" s="16">
        <f>Lead!J66</f>
        <v>260</v>
      </c>
      <c r="F1206" s="16">
        <f>E1206*C1206</f>
        <v>325</v>
      </c>
      <c r="G1206" s="4"/>
      <c r="H1206" s="4"/>
    </row>
    <row r="1207" spans="1:8" s="20" customFormat="1">
      <c r="A1207" s="5"/>
      <c r="B1207" s="19" t="s">
        <v>27</v>
      </c>
      <c r="C1207" s="16">
        <v>1</v>
      </c>
      <c r="D1207" s="16" t="s">
        <v>114</v>
      </c>
      <c r="E1207" s="16">
        <f>Lead!E47</f>
        <v>200</v>
      </c>
      <c r="F1207" s="16">
        <f>E1207*C1207</f>
        <v>200</v>
      </c>
      <c r="G1207" s="4"/>
      <c r="H1207" s="4"/>
    </row>
    <row r="1208" spans="1:8" s="20" customFormat="1">
      <c r="A1208" s="5"/>
      <c r="B1208" s="19" t="s">
        <v>7</v>
      </c>
      <c r="C1208" s="16">
        <v>0.1</v>
      </c>
      <c r="D1208" s="16" t="s">
        <v>114</v>
      </c>
      <c r="E1208" s="16">
        <f>Lead!E47</f>
        <v>200</v>
      </c>
      <c r="F1208" s="16">
        <f>E1208*C1208</f>
        <v>20</v>
      </c>
      <c r="G1208" s="4"/>
      <c r="H1208" s="4"/>
    </row>
    <row r="1209" spans="1:8" s="20" customFormat="1">
      <c r="A1209" s="5"/>
      <c r="B1209" s="15" t="s">
        <v>322</v>
      </c>
      <c r="C1209" s="16"/>
      <c r="D1209" s="16" t="s">
        <v>116</v>
      </c>
      <c r="E1209" s="16">
        <f>SUM(F1206:F1208)</f>
        <v>545</v>
      </c>
      <c r="F1209" s="16">
        <f>E1209*0.075</f>
        <v>40.875</v>
      </c>
      <c r="G1209" s="4"/>
      <c r="H1209" s="4"/>
    </row>
    <row r="1210" spans="1:8" s="20" customFormat="1">
      <c r="A1210" s="5"/>
      <c r="B1210" s="15" t="s">
        <v>323</v>
      </c>
      <c r="C1210" s="16"/>
      <c r="D1210" s="16" t="s">
        <v>116</v>
      </c>
      <c r="E1210" s="16">
        <f>SUM(F1206:F1208)</f>
        <v>545</v>
      </c>
      <c r="F1210" s="16">
        <f>E1210*0.075</f>
        <v>40.875</v>
      </c>
      <c r="G1210" s="4"/>
      <c r="H1210" s="4"/>
    </row>
    <row r="1211" spans="1:8" s="20" customFormat="1">
      <c r="A1211" s="5"/>
      <c r="B1211" s="19" t="s">
        <v>8</v>
      </c>
      <c r="C1211" s="16">
        <v>1.1625000000000001</v>
      </c>
      <c r="D1211" s="16" t="s">
        <v>9</v>
      </c>
      <c r="E1211" s="16">
        <v>191</v>
      </c>
      <c r="F1211" s="16">
        <f>E1211*C1211</f>
        <v>222.03750000000002</v>
      </c>
      <c r="G1211" s="4"/>
      <c r="H1211" s="4"/>
    </row>
    <row r="1212" spans="1:8" s="20" customFormat="1">
      <c r="A1212" s="5"/>
      <c r="B1212" s="19" t="s">
        <v>117</v>
      </c>
      <c r="C1212" s="16"/>
      <c r="D1212" s="16"/>
      <c r="E1212" s="16"/>
      <c r="F1212" s="16">
        <f>SUM(F1206:F1211)</f>
        <v>848.78750000000002</v>
      </c>
      <c r="G1212" s="4"/>
      <c r="H1212" s="4"/>
    </row>
    <row r="1213" spans="1:8" s="20" customFormat="1">
      <c r="A1213" s="5"/>
      <c r="B1213" s="19" t="s">
        <v>3</v>
      </c>
      <c r="C1213" s="16"/>
      <c r="D1213" s="16"/>
      <c r="E1213" s="16"/>
      <c r="F1213" s="16">
        <f>F1212/9.3</f>
        <v>91.267473118279568</v>
      </c>
      <c r="G1213" s="4"/>
      <c r="H1213" s="4"/>
    </row>
    <row r="1214" spans="1:8" s="20" customFormat="1">
      <c r="A1214" s="5"/>
      <c r="B1214" s="64" t="s">
        <v>293</v>
      </c>
      <c r="C1214" s="777"/>
      <c r="D1214" s="777"/>
      <c r="E1214" s="777"/>
      <c r="F1214" s="96">
        <f>F1213+F1204</f>
        <v>126.35033333333334</v>
      </c>
      <c r="G1214" s="4"/>
      <c r="H1214" s="4"/>
    </row>
    <row r="1215" spans="1:8" s="20" customFormat="1">
      <c r="A1215" s="5"/>
      <c r="B1215" s="45"/>
      <c r="C1215" s="777"/>
      <c r="D1215" s="777"/>
      <c r="E1215" s="777" t="s">
        <v>120</v>
      </c>
      <c r="F1215" s="777">
        <f>ROUND(F1214,1)</f>
        <v>126.4</v>
      </c>
      <c r="G1215" s="4"/>
      <c r="H1215" s="4"/>
    </row>
    <row r="1216" spans="1:8" s="20" customFormat="1">
      <c r="A1216" s="5" t="s">
        <v>38</v>
      </c>
      <c r="B1216" s="64" t="s">
        <v>71</v>
      </c>
      <c r="C1216" s="777"/>
      <c r="D1216" s="777"/>
      <c r="E1216" s="777"/>
      <c r="F1216" s="777"/>
      <c r="G1216" s="4"/>
      <c r="H1216" s="4"/>
    </row>
    <row r="1217" spans="1:10" s="20" customFormat="1">
      <c r="A1217" s="5"/>
      <c r="B1217" s="19" t="s">
        <v>318</v>
      </c>
      <c r="C1217" s="16"/>
      <c r="D1217" s="16"/>
      <c r="E1217" s="16"/>
      <c r="F1217" s="16">
        <f>F1214</f>
        <v>126.35033333333334</v>
      </c>
      <c r="G1217" s="4"/>
      <c r="H1217" s="4"/>
    </row>
    <row r="1218" spans="1:10" s="20" customFormat="1">
      <c r="A1218" s="5"/>
      <c r="B1218" s="62" t="s">
        <v>281</v>
      </c>
      <c r="C1218" s="16"/>
      <c r="D1218" s="16"/>
      <c r="E1218" s="16">
        <f>((F1198+F1199)+(F1198+F1199)*0.15)/9.3+((F1206+F1207+F1208)+(F1206+F1207+F1208)*0.15)/9.3</f>
        <v>95.833333333333329</v>
      </c>
      <c r="F1218" s="16">
        <f>E1218*0.03</f>
        <v>2.8749999999999996</v>
      </c>
      <c r="G1218" s="4"/>
      <c r="H1218" s="4"/>
    </row>
    <row r="1219" spans="1:10" s="20" customFormat="1">
      <c r="A1219" s="5"/>
      <c r="B1219" s="63" t="s">
        <v>117</v>
      </c>
      <c r="C1219" s="16"/>
      <c r="D1219" s="16"/>
      <c r="E1219" s="16"/>
      <c r="F1219" s="16">
        <f>SUM(F1217:F1218)</f>
        <v>129.22533333333334</v>
      </c>
      <c r="G1219" s="4"/>
      <c r="H1219" s="4"/>
    </row>
    <row r="1220" spans="1:10" s="20" customFormat="1">
      <c r="A1220" s="5"/>
      <c r="B1220" s="45"/>
      <c r="C1220" s="777"/>
      <c r="D1220" s="777"/>
      <c r="E1220" s="777" t="s">
        <v>120</v>
      </c>
      <c r="F1220" s="777">
        <f>ROUND(F1219,1)</f>
        <v>129.19999999999999</v>
      </c>
      <c r="G1220" s="4"/>
      <c r="H1220" s="4"/>
    </row>
    <row r="1221" spans="1:10" s="20" customFormat="1">
      <c r="A1221" s="4" t="s">
        <v>39</v>
      </c>
      <c r="B1221" s="19" t="s">
        <v>267</v>
      </c>
      <c r="C1221" s="16"/>
      <c r="D1221" s="16"/>
      <c r="E1221" s="16"/>
      <c r="F1221" s="16"/>
      <c r="G1221" s="4"/>
      <c r="H1221" s="4"/>
    </row>
    <row r="1222" spans="1:10" s="20" customFormat="1">
      <c r="A1222" s="4"/>
      <c r="B1222" s="19" t="s">
        <v>278</v>
      </c>
      <c r="C1222" s="16"/>
      <c r="D1222" s="16"/>
      <c r="E1222" s="16"/>
      <c r="F1222" s="16">
        <f>F1219</f>
        <v>129.22533333333334</v>
      </c>
      <c r="G1222" s="4"/>
      <c r="H1222" s="4"/>
    </row>
    <row r="1223" spans="1:10" s="20" customFormat="1">
      <c r="A1223" s="4"/>
      <c r="B1223" s="62" t="s">
        <v>282</v>
      </c>
      <c r="C1223" s="16"/>
      <c r="D1223" s="16"/>
      <c r="E1223" s="16">
        <f>E1218+F1218</f>
        <v>98.708333333333329</v>
      </c>
      <c r="F1223" s="16">
        <f>E1223*0.03</f>
        <v>2.9612499999999997</v>
      </c>
      <c r="G1223" s="4"/>
      <c r="H1223" s="4"/>
    </row>
    <row r="1224" spans="1:10" s="20" customFormat="1">
      <c r="A1224" s="4"/>
      <c r="B1224" s="63" t="s">
        <v>117</v>
      </c>
      <c r="C1224" s="16"/>
      <c r="D1224" s="16"/>
      <c r="E1224" s="16"/>
      <c r="F1224" s="16">
        <f>SUM(F1222:F1223)</f>
        <v>132.18658333333335</v>
      </c>
      <c r="G1224" s="4"/>
      <c r="H1224" s="4"/>
    </row>
    <row r="1225" spans="1:10" s="20" customFormat="1">
      <c r="A1225" s="4"/>
      <c r="B1225" s="45"/>
      <c r="C1225" s="777"/>
      <c r="D1225" s="777"/>
      <c r="E1225" s="777" t="s">
        <v>120</v>
      </c>
      <c r="F1225" s="777">
        <f>ROUND(F1224,1)</f>
        <v>132.19999999999999</v>
      </c>
      <c r="G1225" s="4"/>
      <c r="H1225" s="4"/>
    </row>
    <row r="1226" spans="1:10" s="149" customFormat="1">
      <c r="C1226" s="121"/>
      <c r="D1226" s="121"/>
      <c r="E1226" s="121"/>
      <c r="F1226" s="121"/>
      <c r="G1226" s="121"/>
      <c r="H1226" s="121"/>
      <c r="I1226" s="121"/>
      <c r="J1226" s="121"/>
    </row>
    <row r="1227" spans="1:10" s="149" customFormat="1">
      <c r="C1227" s="121"/>
      <c r="D1227" s="121"/>
      <c r="E1227" s="121"/>
      <c r="F1227" s="121"/>
      <c r="G1227" s="121"/>
      <c r="H1227" s="121"/>
      <c r="I1227" s="121"/>
      <c r="J1227" s="121"/>
    </row>
    <row r="1228" spans="1:10" s="20" customFormat="1" ht="25.5" hidden="1">
      <c r="A1228" s="128">
        <v>31</v>
      </c>
      <c r="B1228" s="129" t="s">
        <v>1083</v>
      </c>
      <c r="C1228" s="16"/>
      <c r="D1228" s="4" t="s">
        <v>165</v>
      </c>
      <c r="E1228" s="59"/>
      <c r="F1228" s="59"/>
      <c r="G1228" s="4"/>
      <c r="H1228" s="4"/>
    </row>
    <row r="1229" spans="1:10" s="20" customFormat="1" hidden="1">
      <c r="A1229" s="128" t="s">
        <v>37</v>
      </c>
      <c r="B1229" s="129" t="s">
        <v>1008</v>
      </c>
      <c r="C1229" s="16"/>
      <c r="D1229" s="4"/>
      <c r="E1229" s="59"/>
      <c r="F1229" s="59"/>
      <c r="G1229" s="4"/>
      <c r="H1229" s="4"/>
    </row>
    <row r="1230" spans="1:10" s="20" customFormat="1" hidden="1">
      <c r="A1230" s="5"/>
      <c r="B1230" s="19" t="s">
        <v>4</v>
      </c>
      <c r="C1230" s="16"/>
      <c r="D1230" s="4"/>
      <c r="E1230" s="59"/>
      <c r="F1230" s="59"/>
      <c r="G1230" s="4"/>
      <c r="H1230" s="4"/>
    </row>
    <row r="1231" spans="1:10" s="20" customFormat="1" hidden="1">
      <c r="A1231" s="5"/>
      <c r="B1231" s="19" t="s">
        <v>330</v>
      </c>
      <c r="C1231" s="16">
        <v>8</v>
      </c>
      <c r="D1231" s="4" t="s">
        <v>18</v>
      </c>
      <c r="E1231" s="59">
        <v>30</v>
      </c>
      <c r="F1231" s="59">
        <f>E1231*C1231</f>
        <v>240</v>
      </c>
      <c r="G1231" s="4"/>
      <c r="H1231" s="4"/>
    </row>
    <row r="1232" spans="1:10" s="20" customFormat="1" hidden="1">
      <c r="A1232" s="5"/>
      <c r="B1232" s="19" t="s">
        <v>329</v>
      </c>
      <c r="C1232" s="16">
        <v>0.5</v>
      </c>
      <c r="D1232" s="4" t="s">
        <v>114</v>
      </c>
      <c r="E1232" s="16">
        <f>Lead!J57</f>
        <v>240</v>
      </c>
      <c r="F1232" s="59">
        <f>E1232*C1232</f>
        <v>120</v>
      </c>
      <c r="G1232" s="4"/>
      <c r="H1232" s="4"/>
    </row>
    <row r="1233" spans="1:8" s="20" customFormat="1" hidden="1">
      <c r="A1233" s="5"/>
      <c r="B1233" s="19" t="s">
        <v>27</v>
      </c>
      <c r="C1233" s="16">
        <v>0.5</v>
      </c>
      <c r="D1233" s="4" t="s">
        <v>114</v>
      </c>
      <c r="E1233" s="16">
        <f>Lead!E47</f>
        <v>200</v>
      </c>
      <c r="F1233" s="59">
        <f>E1233*C1233</f>
        <v>100</v>
      </c>
      <c r="G1233" s="4"/>
      <c r="H1233" s="4"/>
    </row>
    <row r="1234" spans="1:8" s="20" customFormat="1" hidden="1">
      <c r="A1234" s="5"/>
      <c r="B1234" s="19" t="s">
        <v>7</v>
      </c>
      <c r="C1234" s="16">
        <v>7.0000000000000007E-2</v>
      </c>
      <c r="D1234" s="4" t="s">
        <v>114</v>
      </c>
      <c r="E1234" s="16">
        <f>Lead!E47</f>
        <v>200</v>
      </c>
      <c r="F1234" s="59">
        <f>E1234*C1234</f>
        <v>14.000000000000002</v>
      </c>
      <c r="G1234" s="4"/>
      <c r="H1234" s="4"/>
    </row>
    <row r="1235" spans="1:8" s="20" customFormat="1" hidden="1">
      <c r="A1235" s="5"/>
      <c r="B1235" s="3" t="s">
        <v>1061</v>
      </c>
      <c r="C1235" s="16"/>
      <c r="D1235" s="4" t="s">
        <v>116</v>
      </c>
      <c r="E1235" s="59">
        <f>SUM(F1231:F1234)</f>
        <v>474</v>
      </c>
      <c r="F1235" s="59">
        <f>E1235*0.15</f>
        <v>71.099999999999994</v>
      </c>
      <c r="G1235" s="4"/>
      <c r="H1235" s="4"/>
    </row>
    <row r="1236" spans="1:8" s="20" customFormat="1" hidden="1">
      <c r="A1236" s="5"/>
      <c r="B1236" s="3" t="s">
        <v>117</v>
      </c>
      <c r="C1236" s="16"/>
      <c r="D1236" s="4"/>
      <c r="E1236" s="59"/>
      <c r="F1236" s="59">
        <f>SUM(F1231:F1235)</f>
        <v>545.1</v>
      </c>
      <c r="G1236" s="4"/>
      <c r="H1236" s="4"/>
    </row>
    <row r="1237" spans="1:8" s="20" customFormat="1" hidden="1">
      <c r="A1237" s="5"/>
      <c r="B1237" s="3" t="s">
        <v>50</v>
      </c>
      <c r="C1237" s="16"/>
      <c r="D1237" s="4"/>
      <c r="E1237" s="59"/>
      <c r="F1237" s="59">
        <f>F1236/10</f>
        <v>54.510000000000005</v>
      </c>
      <c r="G1237" s="4"/>
      <c r="H1237" s="4"/>
    </row>
    <row r="1238" spans="1:8" s="20" customFormat="1" hidden="1">
      <c r="A1238" s="5"/>
      <c r="B1238" s="371" t="s">
        <v>493</v>
      </c>
      <c r="C1238" s="4"/>
      <c r="D1238" s="4"/>
      <c r="E1238" s="4"/>
      <c r="F1238" s="59">
        <f>F1237*0.01</f>
        <v>0.54510000000000003</v>
      </c>
      <c r="G1238" s="4"/>
      <c r="H1238" s="4"/>
    </row>
    <row r="1239" spans="1:8" s="20" customFormat="1" hidden="1">
      <c r="A1239" s="5"/>
      <c r="B1239" s="371" t="s">
        <v>117</v>
      </c>
      <c r="C1239" s="4"/>
      <c r="D1239" s="4"/>
      <c r="E1239" s="4"/>
      <c r="F1239" s="59">
        <f>SUM(F1237:F1238)</f>
        <v>55.055100000000003</v>
      </c>
      <c r="G1239" s="4"/>
      <c r="H1239" s="4"/>
    </row>
    <row r="1240" spans="1:8" s="20" customFormat="1" hidden="1">
      <c r="A1240" s="5"/>
      <c r="B1240" s="131"/>
      <c r="C1240" s="135"/>
      <c r="D1240" s="135"/>
      <c r="E1240" s="135" t="s">
        <v>120</v>
      </c>
      <c r="F1240" s="140">
        <f>ROUND(F1239,1)</f>
        <v>55.1</v>
      </c>
      <c r="G1240" s="4"/>
      <c r="H1240" s="4"/>
    </row>
    <row r="1241" spans="1:8" s="20" customFormat="1" hidden="1">
      <c r="A1241" s="128" t="s">
        <v>38</v>
      </c>
      <c r="B1241" s="131" t="s">
        <v>1052</v>
      </c>
      <c r="C1241" s="135"/>
      <c r="D1241" s="135"/>
      <c r="E1241" s="135"/>
      <c r="F1241" s="140"/>
      <c r="G1241" s="4"/>
      <c r="H1241" s="4"/>
    </row>
    <row r="1242" spans="1:8" s="20" customFormat="1" hidden="1">
      <c r="A1242" s="5"/>
      <c r="B1242" s="374" t="s">
        <v>157</v>
      </c>
      <c r="C1242" s="4"/>
      <c r="D1242" s="4"/>
      <c r="E1242" s="4"/>
      <c r="F1242" s="16">
        <f>F1239</f>
        <v>55.055100000000003</v>
      </c>
      <c r="G1242" s="4"/>
      <c r="H1242" s="4"/>
    </row>
    <row r="1243" spans="1:8" s="20" customFormat="1" ht="25.5" hidden="1">
      <c r="A1243" s="5"/>
      <c r="B1243" s="30" t="s">
        <v>1084</v>
      </c>
      <c r="C1243" s="135"/>
      <c r="D1243" s="135"/>
      <c r="E1243" s="4">
        <f>((F1232+F1233+F1234)+(F1232+F1233+F1234)*0.15)</f>
        <v>269.10000000000002</v>
      </c>
      <c r="F1243" s="16">
        <f>E1243*0.03</f>
        <v>8.0730000000000004</v>
      </c>
      <c r="G1243" s="4"/>
      <c r="H1243" s="4"/>
    </row>
    <row r="1244" spans="1:8" s="20" customFormat="1" hidden="1">
      <c r="A1244" s="5"/>
      <c r="B1244" s="353"/>
      <c r="C1244" s="135"/>
      <c r="D1244" s="135"/>
      <c r="E1244" s="135"/>
      <c r="F1244" s="59">
        <f>SUM(F1242:F1243)</f>
        <v>63.128100000000003</v>
      </c>
      <c r="G1244" s="4"/>
      <c r="H1244" s="4"/>
    </row>
    <row r="1245" spans="1:8" s="20" customFormat="1" hidden="1">
      <c r="A1245" s="5"/>
      <c r="B1245" s="131"/>
      <c r="C1245" s="135"/>
      <c r="D1245" s="135"/>
      <c r="E1245" s="135" t="s">
        <v>120</v>
      </c>
      <c r="F1245" s="140">
        <f>ROUND(F1244,1)</f>
        <v>63.1</v>
      </c>
      <c r="G1245" s="4"/>
      <c r="H1245" s="4"/>
    </row>
    <row r="1246" spans="1:8" s="20" customFormat="1" hidden="1">
      <c r="A1246" s="5"/>
      <c r="B1246" s="131"/>
      <c r="C1246" s="135"/>
      <c r="D1246" s="135"/>
      <c r="E1246" s="135"/>
      <c r="F1246" s="140"/>
      <c r="G1246" s="4"/>
      <c r="H1246" s="4"/>
    </row>
    <row r="1247" spans="1:8" s="20" customFormat="1" hidden="1">
      <c r="A1247" s="128" t="s">
        <v>39</v>
      </c>
      <c r="B1247" s="131" t="s">
        <v>1053</v>
      </c>
      <c r="C1247" s="135"/>
      <c r="D1247" s="135"/>
      <c r="E1247" s="135"/>
      <c r="F1247" s="140"/>
      <c r="G1247" s="4"/>
      <c r="H1247" s="4"/>
    </row>
    <row r="1248" spans="1:8" s="20" customFormat="1" hidden="1">
      <c r="A1248" s="5"/>
      <c r="B1248" s="374" t="s">
        <v>352</v>
      </c>
      <c r="C1248" s="4"/>
      <c r="D1248" s="4"/>
      <c r="E1248" s="4"/>
      <c r="F1248" s="16">
        <f>F1245</f>
        <v>63.1</v>
      </c>
      <c r="G1248" s="4"/>
      <c r="H1248" s="4"/>
    </row>
    <row r="1249" spans="1:10" s="20" customFormat="1" ht="25.5" hidden="1">
      <c r="A1249" s="5"/>
      <c r="B1249" s="30" t="s">
        <v>1084</v>
      </c>
      <c r="C1249" s="135"/>
      <c r="D1249" s="135"/>
      <c r="E1249" s="4">
        <f>((F1232+F1233+F1234)+(F1232+F1233+F1234)*0.15)</f>
        <v>269.10000000000002</v>
      </c>
      <c r="F1249" s="16">
        <f>E1249*0.03</f>
        <v>8.0730000000000004</v>
      </c>
      <c r="G1249" s="4"/>
      <c r="H1249" s="4"/>
    </row>
    <row r="1250" spans="1:10" s="20" customFormat="1" hidden="1">
      <c r="A1250" s="5"/>
      <c r="B1250" s="353"/>
      <c r="C1250" s="135"/>
      <c r="D1250" s="135"/>
      <c r="E1250" s="135"/>
      <c r="F1250" s="59">
        <f>SUM(F1248:F1249)</f>
        <v>71.173000000000002</v>
      </c>
      <c r="G1250" s="4"/>
      <c r="H1250" s="4"/>
    </row>
    <row r="1251" spans="1:10" s="20" customFormat="1" hidden="1">
      <c r="A1251" s="5"/>
      <c r="B1251" s="131"/>
      <c r="C1251" s="135"/>
      <c r="D1251" s="135"/>
      <c r="E1251" s="135" t="s">
        <v>120</v>
      </c>
      <c r="F1251" s="140">
        <f>ROUND(F1250,1)</f>
        <v>71.2</v>
      </c>
      <c r="G1251" s="4"/>
      <c r="H1251" s="4"/>
    </row>
    <row r="1252" spans="1:10" s="149" customFormat="1" hidden="1">
      <c r="C1252" s="121"/>
      <c r="D1252" s="121"/>
      <c r="E1252" s="121"/>
      <c r="F1252" s="121"/>
      <c r="G1252" s="121"/>
      <c r="H1252" s="121"/>
      <c r="I1252" s="121"/>
      <c r="J1252" s="121"/>
    </row>
    <row r="1253" spans="1:10" s="20" customFormat="1" ht="76.5" hidden="1">
      <c r="A1253" s="5">
        <v>41</v>
      </c>
      <c r="B1253" s="129" t="s">
        <v>295</v>
      </c>
      <c r="C1253" s="96" t="s">
        <v>165</v>
      </c>
      <c r="D1253" s="96"/>
      <c r="E1253" s="96"/>
      <c r="F1253" s="16"/>
      <c r="G1253" s="4"/>
      <c r="H1253" s="4"/>
    </row>
    <row r="1254" spans="1:10" s="20" customFormat="1" hidden="1">
      <c r="A1254" s="5"/>
      <c r="B1254" s="15" t="s">
        <v>14</v>
      </c>
      <c r="C1254" s="16"/>
      <c r="D1254" s="16"/>
      <c r="E1254" s="16"/>
      <c r="F1254" s="16"/>
      <c r="G1254" s="4"/>
      <c r="H1254" s="4"/>
    </row>
    <row r="1255" spans="1:10" s="20" customFormat="1" hidden="1">
      <c r="A1255" s="5"/>
      <c r="B1255" s="15" t="s">
        <v>150</v>
      </c>
      <c r="C1255" s="16"/>
      <c r="D1255" s="16"/>
      <c r="E1255" s="16"/>
      <c r="F1255" s="16"/>
      <c r="G1255" s="4"/>
      <c r="H1255" s="4"/>
    </row>
    <row r="1256" spans="1:10" s="20" customFormat="1" hidden="1">
      <c r="A1256" s="5"/>
      <c r="B1256" s="15" t="s">
        <v>33</v>
      </c>
      <c r="C1256" s="96" t="s">
        <v>15</v>
      </c>
      <c r="D1256" s="96" t="s">
        <v>127</v>
      </c>
      <c r="E1256" s="96">
        <f>Lead!E29</f>
        <v>650</v>
      </c>
      <c r="F1256" s="96">
        <f>C1256*E1256</f>
        <v>1207.05</v>
      </c>
      <c r="G1256" s="4"/>
      <c r="H1256" s="4"/>
    </row>
    <row r="1257" spans="1:10" s="20" customFormat="1" hidden="1">
      <c r="A1257" s="5"/>
      <c r="B1257" s="15" t="s">
        <v>162</v>
      </c>
      <c r="C1257" s="96" t="s">
        <v>163</v>
      </c>
      <c r="D1257" s="96" t="s">
        <v>123</v>
      </c>
      <c r="E1257" s="96">
        <f>Lead!E20</f>
        <v>55</v>
      </c>
      <c r="F1257" s="96">
        <f>C1257*E1257</f>
        <v>7.15</v>
      </c>
      <c r="G1257" s="4"/>
      <c r="H1257" s="4"/>
    </row>
    <row r="1258" spans="1:10" s="20" customFormat="1" hidden="1">
      <c r="A1258" s="5"/>
      <c r="B1258" s="15" t="s">
        <v>33</v>
      </c>
      <c r="C1258" s="96" t="s">
        <v>16</v>
      </c>
      <c r="D1258" s="96" t="s">
        <v>127</v>
      </c>
      <c r="E1258" s="96">
        <f>E1256</f>
        <v>650</v>
      </c>
      <c r="F1258" s="96">
        <f>C1258*E1258</f>
        <v>286</v>
      </c>
      <c r="G1258" s="4"/>
      <c r="H1258" s="4"/>
    </row>
    <row r="1259" spans="1:10" s="20" customFormat="1" hidden="1">
      <c r="A1259" s="5"/>
      <c r="B1259" s="15" t="s">
        <v>33</v>
      </c>
      <c r="C1259" s="96" t="s">
        <v>16</v>
      </c>
      <c r="D1259" s="96" t="s">
        <v>127</v>
      </c>
      <c r="E1259" s="96">
        <f>E1256</f>
        <v>650</v>
      </c>
      <c r="F1259" s="96">
        <f>C1259*E1259</f>
        <v>286</v>
      </c>
      <c r="G1259" s="4"/>
      <c r="H1259" s="4"/>
    </row>
    <row r="1260" spans="1:10" s="20" customFormat="1" hidden="1">
      <c r="A1260" s="5"/>
      <c r="B1260" s="15" t="s">
        <v>296</v>
      </c>
      <c r="C1260" s="96">
        <v>10</v>
      </c>
      <c r="D1260" s="96" t="s">
        <v>161</v>
      </c>
      <c r="E1260" s="96">
        <v>667.4</v>
      </c>
      <c r="F1260" s="96">
        <f>C1260*E1260</f>
        <v>6674</v>
      </c>
      <c r="G1260" s="4"/>
      <c r="H1260" s="4"/>
    </row>
    <row r="1261" spans="1:10" s="20" customFormat="1" hidden="1">
      <c r="A1261" s="5"/>
      <c r="B1261" s="99" t="s">
        <v>152</v>
      </c>
      <c r="C1261" s="16"/>
      <c r="D1261" s="16"/>
      <c r="E1261" s="16"/>
      <c r="F1261" s="96"/>
      <c r="G1261" s="4"/>
      <c r="H1261" s="4"/>
    </row>
    <row r="1262" spans="1:10" s="20" customFormat="1" hidden="1">
      <c r="A1262" s="5"/>
      <c r="B1262" s="15" t="s">
        <v>155</v>
      </c>
      <c r="C1262" s="96" t="s">
        <v>17</v>
      </c>
      <c r="D1262" s="96" t="s">
        <v>114</v>
      </c>
      <c r="E1262" s="96">
        <f>Lead!E64</f>
        <v>260</v>
      </c>
      <c r="F1262" s="96">
        <f>C1262*E1262</f>
        <v>561.6</v>
      </c>
      <c r="G1262" s="4"/>
      <c r="H1262" s="4"/>
    </row>
    <row r="1263" spans="1:10" s="20" customFormat="1" hidden="1">
      <c r="A1263" s="5"/>
      <c r="B1263" s="15" t="s">
        <v>113</v>
      </c>
      <c r="C1263" s="96" t="s">
        <v>17</v>
      </c>
      <c r="D1263" s="96" t="s">
        <v>114</v>
      </c>
      <c r="E1263" s="96">
        <f>Lead!E47</f>
        <v>200</v>
      </c>
      <c r="F1263" s="96">
        <f>C1263*E1263</f>
        <v>432</v>
      </c>
      <c r="G1263" s="4"/>
      <c r="H1263" s="4"/>
    </row>
    <row r="1264" spans="1:10" s="20" customFormat="1" hidden="1">
      <c r="A1264" s="5"/>
      <c r="B1264" s="15" t="s">
        <v>322</v>
      </c>
      <c r="C1264" s="16"/>
      <c r="D1264" s="96" t="s">
        <v>116</v>
      </c>
      <c r="E1264" s="96">
        <f>SUM(F1256:F1263)</f>
        <v>9453.8000000000011</v>
      </c>
      <c r="F1264" s="96">
        <f>E1264*0.075</f>
        <v>709.03500000000008</v>
      </c>
      <c r="G1264" s="4"/>
      <c r="H1264" s="4"/>
    </row>
    <row r="1265" spans="1:10" s="20" customFormat="1" hidden="1">
      <c r="A1265" s="5"/>
      <c r="B1265" s="15" t="s">
        <v>323</v>
      </c>
      <c r="C1265" s="16"/>
      <c r="D1265" s="96" t="s">
        <v>116</v>
      </c>
      <c r="E1265" s="96">
        <f>SUM(F1256:F1263)</f>
        <v>9453.8000000000011</v>
      </c>
      <c r="F1265" s="96">
        <f>E1265*0.075</f>
        <v>709.03500000000008</v>
      </c>
      <c r="G1265" s="4"/>
      <c r="H1265" s="4"/>
    </row>
    <row r="1266" spans="1:10" s="20" customFormat="1" hidden="1">
      <c r="A1266" s="5"/>
      <c r="B1266" s="99" t="s">
        <v>124</v>
      </c>
      <c r="C1266" s="16"/>
      <c r="D1266" s="16"/>
      <c r="E1266" s="16"/>
      <c r="F1266" s="96"/>
      <c r="G1266" s="4"/>
      <c r="H1266" s="4"/>
    </row>
    <row r="1267" spans="1:10" s="20" customFormat="1" hidden="1">
      <c r="A1267" s="5"/>
      <c r="B1267" s="15" t="s">
        <v>2</v>
      </c>
      <c r="C1267" s="96">
        <v>180</v>
      </c>
      <c r="D1267" s="96" t="s">
        <v>88</v>
      </c>
      <c r="E1267" s="96">
        <v>5.26</v>
      </c>
      <c r="F1267" s="96">
        <f>E1267/C1267*10</f>
        <v>0.29222222222222222</v>
      </c>
      <c r="G1267" s="4"/>
      <c r="H1267" s="4"/>
    </row>
    <row r="1268" spans="1:10" s="20" customFormat="1" hidden="1">
      <c r="A1268" s="5"/>
      <c r="B1268" s="15" t="s">
        <v>151</v>
      </c>
      <c r="C1268" s="96">
        <v>0.13</v>
      </c>
      <c r="D1268" s="96" t="s">
        <v>123</v>
      </c>
      <c r="E1268" s="96">
        <f>Lead!J20</f>
        <v>196.4</v>
      </c>
      <c r="F1268" s="96">
        <f>E1268*C1268</f>
        <v>25.532</v>
      </c>
      <c r="G1268" s="4"/>
      <c r="H1268" s="4"/>
    </row>
    <row r="1269" spans="1:10" s="20" customFormat="1" hidden="1">
      <c r="A1269" s="5"/>
      <c r="B1269" s="15" t="s">
        <v>33</v>
      </c>
      <c r="C1269" s="96">
        <f>C1256+C1258+C1259</f>
        <v>2.7370000000000001</v>
      </c>
      <c r="D1269" s="96" t="s">
        <v>127</v>
      </c>
      <c r="E1269" s="96">
        <f>Lead!J29</f>
        <v>16.899999999999999</v>
      </c>
      <c r="F1269" s="96">
        <f>(E1269*C1269)</f>
        <v>46.255299999999998</v>
      </c>
      <c r="G1269" s="4"/>
      <c r="H1269" s="4"/>
    </row>
    <row r="1270" spans="1:10" s="20" customFormat="1" hidden="1">
      <c r="A1270" s="5"/>
      <c r="B1270" s="15" t="s">
        <v>117</v>
      </c>
      <c r="C1270" s="16"/>
      <c r="D1270" s="16"/>
      <c r="E1270" s="16"/>
      <c r="F1270" s="778">
        <f>SUM(F1256:F1269)</f>
        <v>10943.949522222223</v>
      </c>
      <c r="G1270" s="4"/>
      <c r="H1270" s="4"/>
    </row>
    <row r="1271" spans="1:10" s="20" customFormat="1" hidden="1">
      <c r="A1271" s="5"/>
      <c r="B1271" s="15" t="s">
        <v>60</v>
      </c>
      <c r="C1271" s="16"/>
      <c r="D1271" s="16"/>
      <c r="E1271" s="16"/>
      <c r="F1271" s="96">
        <f>F1270/10</f>
        <v>1094.3949522222224</v>
      </c>
      <c r="G1271" s="4"/>
      <c r="H1271" s="4"/>
    </row>
    <row r="1272" spans="1:10" s="20" customFormat="1" hidden="1">
      <c r="A1272" s="5"/>
      <c r="B1272" s="45"/>
      <c r="C1272" s="777"/>
      <c r="D1272" s="777"/>
      <c r="E1272" s="777" t="s">
        <v>120</v>
      </c>
      <c r="F1272" s="777">
        <f>ROUND(F1271,1)</f>
        <v>1094.4000000000001</v>
      </c>
      <c r="G1272" s="4"/>
      <c r="H1272" s="4"/>
    </row>
    <row r="1273" spans="1:10" s="149" customFormat="1" hidden="1">
      <c r="C1273" s="121"/>
      <c r="D1273" s="121"/>
      <c r="E1273" s="121"/>
      <c r="F1273" s="121"/>
      <c r="G1273" s="121"/>
      <c r="H1273" s="121"/>
      <c r="I1273" s="121"/>
      <c r="J1273" s="121"/>
    </row>
    <row r="1274" spans="1:10" s="164" customFormat="1" ht="25.5" hidden="1">
      <c r="A1274" s="101">
        <v>42</v>
      </c>
      <c r="B1274" s="129" t="s">
        <v>465</v>
      </c>
      <c r="C1274" s="22"/>
      <c r="D1274" s="22"/>
      <c r="E1274" s="22"/>
      <c r="F1274" s="22"/>
      <c r="G1274" s="817"/>
      <c r="H1274" s="817"/>
      <c r="I1274" s="147"/>
      <c r="J1274" s="165"/>
    </row>
    <row r="1275" spans="1:10" s="164" customFormat="1" hidden="1">
      <c r="B1275" s="414" t="s">
        <v>1085</v>
      </c>
      <c r="C1275" s="815"/>
      <c r="D1275" s="815"/>
      <c r="E1275" s="815"/>
      <c r="F1275" s="815"/>
      <c r="G1275" s="817"/>
      <c r="H1275" s="817"/>
      <c r="I1275" s="147"/>
      <c r="J1275" s="165"/>
    </row>
    <row r="1276" spans="1:10" s="164" customFormat="1" hidden="1">
      <c r="B1276" s="147" t="s">
        <v>1086</v>
      </c>
      <c r="C1276" s="816"/>
      <c r="D1276" s="817"/>
      <c r="E1276" s="818"/>
      <c r="F1276" s="818"/>
      <c r="G1276" s="817"/>
      <c r="H1276" s="817"/>
      <c r="I1276" s="147"/>
      <c r="J1276" s="165"/>
    </row>
    <row r="1277" spans="1:10" s="164" customFormat="1" hidden="1">
      <c r="B1277" s="147" t="s">
        <v>1087</v>
      </c>
      <c r="C1277" s="816"/>
      <c r="D1277" s="817"/>
      <c r="E1277" s="818"/>
      <c r="F1277" s="818"/>
      <c r="G1277" s="817"/>
      <c r="H1277" s="817"/>
      <c r="I1277" s="147"/>
      <c r="J1277" s="165"/>
    </row>
    <row r="1278" spans="1:10" s="164" customFormat="1" hidden="1">
      <c r="B1278" s="147" t="s">
        <v>1088</v>
      </c>
      <c r="C1278" s="816">
        <v>1</v>
      </c>
      <c r="D1278" s="817" t="s">
        <v>165</v>
      </c>
      <c r="E1278" s="818">
        <v>217</v>
      </c>
      <c r="F1278" s="818">
        <f>E1278*C1278</f>
        <v>217</v>
      </c>
      <c r="G1278" s="817"/>
      <c r="H1278" s="817"/>
      <c r="I1278" s="147"/>
      <c r="J1278" s="165"/>
    </row>
    <row r="1279" spans="1:10" s="164" customFormat="1" hidden="1">
      <c r="B1279" s="147" t="s">
        <v>104</v>
      </c>
      <c r="C1279" s="819">
        <v>1.2999999999999999E-2</v>
      </c>
      <c r="D1279" s="817" t="s">
        <v>297</v>
      </c>
      <c r="E1279" s="818">
        <f>Lead!E20</f>
        <v>55</v>
      </c>
      <c r="F1279" s="818">
        <f>C1279*E1279</f>
        <v>0.71499999999999997</v>
      </c>
      <c r="G1279" s="817"/>
      <c r="H1279" s="817"/>
      <c r="I1279" s="147"/>
      <c r="J1279" s="165"/>
    </row>
    <row r="1280" spans="1:10" s="164" customFormat="1" hidden="1">
      <c r="B1280" s="147" t="s">
        <v>1089</v>
      </c>
      <c r="C1280" s="820">
        <v>0.1857</v>
      </c>
      <c r="D1280" s="817" t="s">
        <v>1090</v>
      </c>
      <c r="E1280" s="818">
        <f>Lead!E29</f>
        <v>650</v>
      </c>
      <c r="F1280" s="818">
        <f>C1280*E1280</f>
        <v>120.705</v>
      </c>
      <c r="G1280" s="817"/>
      <c r="H1280" s="817"/>
      <c r="I1280" s="147"/>
      <c r="J1280" s="165"/>
    </row>
    <row r="1281" spans="2:10" s="164" customFormat="1" hidden="1">
      <c r="B1281" s="147" t="s">
        <v>1091</v>
      </c>
      <c r="C1281" s="819">
        <v>8.7999999999999995E-2</v>
      </c>
      <c r="D1281" s="817" t="s">
        <v>1090</v>
      </c>
      <c r="E1281" s="818">
        <f>E1280</f>
        <v>650</v>
      </c>
      <c r="F1281" s="818">
        <f>C1281*E1281</f>
        <v>57.199999999999996</v>
      </c>
      <c r="G1281" s="817"/>
      <c r="H1281" s="817"/>
      <c r="I1281" s="147"/>
      <c r="J1281" s="165"/>
    </row>
    <row r="1282" spans="2:10" s="164" customFormat="1" hidden="1">
      <c r="B1282" s="147"/>
      <c r="C1282" s="816"/>
      <c r="D1282" s="817"/>
      <c r="E1282" s="818" t="s">
        <v>117</v>
      </c>
      <c r="F1282" s="818">
        <f>F1278+F1279+F1280+F1281</f>
        <v>395.62</v>
      </c>
      <c r="G1282" s="817"/>
      <c r="H1282" s="817"/>
      <c r="I1282" s="147"/>
      <c r="J1282" s="165"/>
    </row>
    <row r="1283" spans="2:10" s="164" customFormat="1" hidden="1">
      <c r="B1283" s="147" t="s">
        <v>1092</v>
      </c>
      <c r="C1283" s="816"/>
      <c r="D1283" s="817"/>
      <c r="E1283" s="818"/>
      <c r="F1283" s="818"/>
      <c r="G1283" s="817"/>
      <c r="H1283" s="817"/>
      <c r="I1283" s="147"/>
      <c r="J1283" s="165"/>
    </row>
    <row r="1284" spans="2:10" s="164" customFormat="1" hidden="1">
      <c r="B1284" s="147" t="s">
        <v>1093</v>
      </c>
      <c r="C1284" s="819">
        <v>0.216</v>
      </c>
      <c r="D1284" s="817" t="s">
        <v>1094</v>
      </c>
      <c r="E1284" s="818">
        <f>Lead!E64</f>
        <v>260</v>
      </c>
      <c r="F1284" s="818">
        <f>C1284*E1284</f>
        <v>56.16</v>
      </c>
      <c r="G1284" s="817"/>
      <c r="H1284" s="817"/>
      <c r="I1284" s="147"/>
      <c r="J1284" s="165"/>
    </row>
    <row r="1285" spans="2:10" s="164" customFormat="1" hidden="1">
      <c r="B1285" s="147" t="s">
        <v>1095</v>
      </c>
      <c r="C1285" s="819">
        <v>0.55000000000000004</v>
      </c>
      <c r="D1285" s="817" t="s">
        <v>1094</v>
      </c>
      <c r="E1285" s="818">
        <f>Lead!E54</f>
        <v>220</v>
      </c>
      <c r="F1285" s="818">
        <f>C1285*E1285</f>
        <v>121.00000000000001</v>
      </c>
      <c r="G1285" s="817"/>
      <c r="H1285" s="817"/>
      <c r="I1285" s="147"/>
      <c r="J1285" s="165"/>
    </row>
    <row r="1286" spans="2:10" s="164" customFormat="1" hidden="1">
      <c r="B1286" s="147" t="s">
        <v>1096</v>
      </c>
      <c r="C1286" s="819">
        <v>0.216</v>
      </c>
      <c r="D1286" s="817" t="s">
        <v>1094</v>
      </c>
      <c r="E1286" s="818">
        <f>Lead!E47</f>
        <v>200</v>
      </c>
      <c r="F1286" s="818">
        <f>C1286*E1286</f>
        <v>43.2</v>
      </c>
      <c r="G1286" s="817"/>
      <c r="H1286" s="817"/>
      <c r="I1286" s="147"/>
      <c r="J1286" s="165"/>
    </row>
    <row r="1287" spans="2:10" s="164" customFormat="1" hidden="1">
      <c r="B1287" s="147"/>
      <c r="C1287" s="816"/>
      <c r="D1287" s="817"/>
      <c r="E1287" s="818" t="s">
        <v>117</v>
      </c>
      <c r="F1287" s="818">
        <f>SUM(F1284:F1286)</f>
        <v>220.36</v>
      </c>
      <c r="G1287" s="817"/>
      <c r="H1287" s="817"/>
      <c r="I1287" s="147"/>
      <c r="J1287" s="165"/>
    </row>
    <row r="1288" spans="2:10" s="164" customFormat="1" hidden="1">
      <c r="B1288" s="147" t="s">
        <v>1097</v>
      </c>
      <c r="C1288" s="816"/>
      <c r="D1288" s="817"/>
      <c r="E1288" s="818"/>
      <c r="F1288" s="818">
        <f>SUM(F1282+F1287)*0.075</f>
        <v>46.198500000000003</v>
      </c>
      <c r="G1288" s="817"/>
      <c r="H1288" s="817"/>
      <c r="I1288" s="147"/>
      <c r="J1288" s="165"/>
    </row>
    <row r="1289" spans="2:10" s="164" customFormat="1" hidden="1">
      <c r="B1289" s="147" t="s">
        <v>1098</v>
      </c>
      <c r="C1289" s="816"/>
      <c r="D1289" s="817"/>
      <c r="E1289" s="818"/>
      <c r="F1289" s="818">
        <f>SUM(F1282+F1287)*0.075</f>
        <v>46.198500000000003</v>
      </c>
      <c r="G1289" s="817"/>
      <c r="H1289" s="817"/>
      <c r="I1289" s="147"/>
      <c r="J1289" s="165"/>
    </row>
    <row r="1290" spans="2:10" s="164" customFormat="1" hidden="1">
      <c r="B1290" s="147"/>
      <c r="C1290" s="816"/>
      <c r="D1290" s="817"/>
      <c r="E1290" s="818" t="s">
        <v>117</v>
      </c>
      <c r="F1290" s="818">
        <f>F1282+F1287+F1288+F1289</f>
        <v>708.37699999999995</v>
      </c>
      <c r="G1290" s="817"/>
      <c r="H1290" s="817"/>
      <c r="I1290" s="147"/>
      <c r="J1290" s="165"/>
    </row>
    <row r="1291" spans="2:10" s="164" customFormat="1" hidden="1">
      <c r="B1291" s="414" t="s">
        <v>1099</v>
      </c>
      <c r="C1291" s="816"/>
      <c r="D1291" s="817"/>
      <c r="E1291" s="818"/>
      <c r="F1291" s="818"/>
      <c r="G1291" s="817"/>
      <c r="H1291" s="817"/>
      <c r="I1291" s="147"/>
      <c r="J1291" s="165"/>
    </row>
    <row r="1292" spans="2:10" s="164" customFormat="1" hidden="1">
      <c r="B1292" s="147" t="s">
        <v>1100</v>
      </c>
      <c r="C1292" s="816">
        <v>1</v>
      </c>
      <c r="D1292" s="817" t="s">
        <v>165</v>
      </c>
      <c r="E1292" s="818">
        <f>E1267</f>
        <v>5.26</v>
      </c>
      <c r="F1292" s="818">
        <f>E1292*C1292</f>
        <v>5.26</v>
      </c>
      <c r="G1292" s="817"/>
      <c r="H1292" s="817"/>
      <c r="I1292" s="147"/>
      <c r="J1292" s="165"/>
    </row>
    <row r="1293" spans="2:10" s="164" customFormat="1" hidden="1">
      <c r="B1293" s="147" t="s">
        <v>104</v>
      </c>
      <c r="C1293" s="819">
        <v>1.2999999999999999E-2</v>
      </c>
      <c r="D1293" s="817" t="s">
        <v>297</v>
      </c>
      <c r="E1293" s="818">
        <f>Lead!J20</f>
        <v>196.4</v>
      </c>
      <c r="F1293" s="818">
        <f>SUM(C1293*E1293)</f>
        <v>2.5531999999999999</v>
      </c>
      <c r="G1293" s="817"/>
      <c r="H1293" s="817"/>
      <c r="I1293" s="147"/>
      <c r="J1293" s="165"/>
    </row>
    <row r="1294" spans="2:10" s="164" customFormat="1" hidden="1">
      <c r="B1294" s="147" t="s">
        <v>1089</v>
      </c>
      <c r="C1294" s="820">
        <v>0.1857</v>
      </c>
      <c r="D1294" s="817" t="s">
        <v>1090</v>
      </c>
      <c r="E1294" s="818">
        <f>Lead!J29</f>
        <v>16.899999999999999</v>
      </c>
      <c r="F1294" s="818">
        <f>SUM(C1294*E1294)</f>
        <v>3.1383299999999998</v>
      </c>
      <c r="G1294" s="817"/>
      <c r="H1294" s="817"/>
      <c r="I1294" s="147"/>
      <c r="J1294" s="165"/>
    </row>
    <row r="1295" spans="2:10" s="164" customFormat="1" hidden="1">
      <c r="B1295" s="147" t="s">
        <v>1091</v>
      </c>
      <c r="C1295" s="819">
        <v>8.7999999999999995E-2</v>
      </c>
      <c r="D1295" s="817" t="s">
        <v>1101</v>
      </c>
      <c r="E1295" s="818">
        <f>E1294</f>
        <v>16.899999999999999</v>
      </c>
      <c r="F1295" s="818">
        <f>SUM(C1295*E1295)</f>
        <v>1.4871999999999999</v>
      </c>
      <c r="G1295" s="817"/>
      <c r="H1295" s="817"/>
      <c r="I1295" s="147"/>
      <c r="J1295" s="165"/>
    </row>
    <row r="1296" spans="2:10" s="164" customFormat="1" hidden="1">
      <c r="B1296" s="147"/>
      <c r="C1296" s="816"/>
      <c r="D1296" s="817"/>
      <c r="E1296" s="818" t="s">
        <v>117</v>
      </c>
      <c r="F1296" s="818">
        <f>F1292+F1293+F1294+F1295</f>
        <v>12.43873</v>
      </c>
      <c r="G1296" s="817"/>
      <c r="H1296" s="817"/>
      <c r="I1296" s="147"/>
      <c r="J1296" s="165"/>
    </row>
    <row r="1297" spans="1:10" s="164" customFormat="1" hidden="1">
      <c r="B1297" s="147" t="s">
        <v>337</v>
      </c>
      <c r="C1297" s="816"/>
      <c r="D1297" s="817"/>
      <c r="E1297" s="818" t="s">
        <v>117</v>
      </c>
      <c r="F1297" s="822">
        <f>SUM(F1290+F1296)</f>
        <v>720.81572999999992</v>
      </c>
      <c r="G1297" s="817"/>
      <c r="H1297" s="817"/>
      <c r="I1297" s="147"/>
      <c r="J1297" s="165"/>
    </row>
    <row r="1298" spans="1:10" s="164" customFormat="1" hidden="1">
      <c r="B1298" s="147" t="s">
        <v>457</v>
      </c>
      <c r="C1298" s="816"/>
      <c r="D1298" s="817"/>
      <c r="E1298" s="818"/>
      <c r="F1298" s="818">
        <f>F1297*0.01</f>
        <v>7.208157299999999</v>
      </c>
      <c r="G1298" s="817"/>
      <c r="H1298" s="817"/>
      <c r="I1298" s="147"/>
      <c r="J1298" s="165"/>
    </row>
    <row r="1299" spans="1:10" s="164" customFormat="1" hidden="1">
      <c r="B1299" s="147"/>
      <c r="C1299" s="816"/>
      <c r="D1299" s="817"/>
      <c r="E1299" s="818" t="s">
        <v>1102</v>
      </c>
      <c r="F1299" s="818">
        <f>F1297+F1298</f>
        <v>728.02388729999996</v>
      </c>
      <c r="G1299" s="817"/>
      <c r="H1299" s="817"/>
      <c r="I1299" s="147"/>
      <c r="J1299" s="165"/>
    </row>
    <row r="1300" spans="1:10" s="164" customFormat="1" hidden="1">
      <c r="B1300" s="147"/>
      <c r="C1300" s="816"/>
      <c r="D1300" s="817"/>
      <c r="E1300" s="818" t="s">
        <v>120</v>
      </c>
      <c r="F1300" s="822">
        <f>ROUND(F1299,1)</f>
        <v>728</v>
      </c>
      <c r="G1300" s="817"/>
      <c r="H1300" s="817"/>
      <c r="I1300" s="147"/>
      <c r="J1300" s="165"/>
    </row>
    <row r="1301" spans="1:10" s="164" customFormat="1" hidden="1">
      <c r="C1301" s="165"/>
      <c r="D1301" s="165"/>
      <c r="E1301" s="165"/>
      <c r="F1301" s="165"/>
      <c r="G1301" s="165"/>
      <c r="H1301" s="165"/>
      <c r="I1301" s="165"/>
      <c r="J1301" s="165"/>
    </row>
    <row r="1302" spans="1:10" s="20" customFormat="1" ht="38.25" customHeight="1">
      <c r="A1302" s="4">
        <v>36</v>
      </c>
      <c r="B1302" s="129" t="s">
        <v>328</v>
      </c>
      <c r="C1302" s="16" t="s">
        <v>165</v>
      </c>
      <c r="D1302" s="16"/>
      <c r="E1302" s="16"/>
      <c r="F1302" s="16"/>
      <c r="G1302" s="4"/>
      <c r="H1302" s="4"/>
      <c r="I1302" s="4"/>
      <c r="J1302" s="4"/>
    </row>
    <row r="1303" spans="1:10" s="9" customFormat="1" ht="12.75" customHeight="1">
      <c r="B1303" s="131" t="s">
        <v>70</v>
      </c>
      <c r="C1303" s="16"/>
      <c r="D1303" s="16"/>
      <c r="E1303" s="16"/>
      <c r="F1303" s="16"/>
      <c r="G1303" s="4"/>
      <c r="H1303" s="8"/>
      <c r="I1303" s="8"/>
      <c r="J1303" s="8"/>
    </row>
    <row r="1304" spans="1:10" s="9" customFormat="1" ht="12.75" customHeight="1">
      <c r="B1304" s="3" t="s">
        <v>46</v>
      </c>
      <c r="C1304" s="16"/>
      <c r="D1304" s="16"/>
      <c r="E1304" s="16"/>
      <c r="F1304" s="16"/>
      <c r="G1304" s="4"/>
      <c r="H1304" s="8"/>
      <c r="I1304" s="8"/>
      <c r="J1304" s="8"/>
    </row>
    <row r="1305" spans="1:10" s="9" customFormat="1" ht="12.75" customHeight="1">
      <c r="B1305" s="3" t="s">
        <v>5</v>
      </c>
      <c r="C1305" s="16"/>
      <c r="D1305" s="16"/>
      <c r="E1305" s="16"/>
      <c r="F1305" s="16"/>
      <c r="G1305" s="4"/>
      <c r="H1305" s="8"/>
      <c r="I1305" s="8"/>
      <c r="J1305" s="8"/>
    </row>
    <row r="1306" spans="1:10" s="9" customFormat="1" ht="12.75" customHeight="1">
      <c r="B1306" s="3" t="s">
        <v>47</v>
      </c>
      <c r="C1306" s="16">
        <v>0.54</v>
      </c>
      <c r="D1306" s="16" t="s">
        <v>114</v>
      </c>
      <c r="E1306" s="16">
        <f>Lead!J66</f>
        <v>260</v>
      </c>
      <c r="F1306" s="16">
        <f>E1306*C1306</f>
        <v>140.4</v>
      </c>
      <c r="G1306" s="4"/>
      <c r="H1306" s="8"/>
      <c r="I1306" s="8"/>
      <c r="J1306" s="8"/>
    </row>
    <row r="1307" spans="1:10" s="9" customFormat="1" ht="12.75" customHeight="1">
      <c r="B1307" s="3" t="s">
        <v>48</v>
      </c>
      <c r="C1307" s="16" t="s">
        <v>49</v>
      </c>
      <c r="D1307" s="16" t="s">
        <v>114</v>
      </c>
      <c r="E1307" s="16">
        <f>Lead!E47</f>
        <v>200</v>
      </c>
      <c r="F1307" s="16">
        <f>E1307*C1307</f>
        <v>20</v>
      </c>
      <c r="G1307" s="4"/>
      <c r="H1307" s="8"/>
      <c r="I1307" s="8"/>
      <c r="J1307" s="8"/>
    </row>
    <row r="1308" spans="1:10" s="9" customFormat="1" ht="12.75" customHeight="1">
      <c r="B1308" s="3" t="s">
        <v>113</v>
      </c>
      <c r="C1308" s="16">
        <v>0.54</v>
      </c>
      <c r="D1308" s="16" t="s">
        <v>114</v>
      </c>
      <c r="E1308" s="16">
        <f>Lead!E47</f>
        <v>200</v>
      </c>
      <c r="F1308" s="410">
        <f>E1308*C1308</f>
        <v>108</v>
      </c>
      <c r="G1308" s="4"/>
      <c r="H1308" s="8"/>
      <c r="I1308" s="8"/>
      <c r="J1308" s="8"/>
    </row>
    <row r="1309" spans="1:10" s="9" customFormat="1" ht="12.75" customHeight="1">
      <c r="B1309" s="3"/>
      <c r="C1309" s="16"/>
      <c r="D1309" s="16"/>
      <c r="E1309" s="16"/>
      <c r="F1309" s="16">
        <f>SUM(F1306:F1308)</f>
        <v>268.39999999999998</v>
      </c>
      <c r="G1309" s="4"/>
      <c r="H1309" s="8"/>
      <c r="I1309" s="8"/>
      <c r="J1309" s="8"/>
    </row>
    <row r="1310" spans="1:10" s="9" customFormat="1" ht="12.75" customHeight="1">
      <c r="B1310" s="3" t="s">
        <v>322</v>
      </c>
      <c r="C1310" s="16"/>
      <c r="D1310" s="16"/>
      <c r="E1310" s="16"/>
      <c r="F1310" s="16">
        <f>F1309*7.5%</f>
        <v>20.13</v>
      </c>
      <c r="G1310" s="4"/>
      <c r="H1310" s="8"/>
      <c r="I1310" s="8"/>
      <c r="J1310" s="8"/>
    </row>
    <row r="1311" spans="1:10" s="9" customFormat="1" ht="12.75" customHeight="1">
      <c r="B1311" s="3" t="s">
        <v>323</v>
      </c>
      <c r="C1311" s="16"/>
      <c r="D1311" s="16"/>
      <c r="E1311" s="16"/>
      <c r="F1311" s="16">
        <f>F1309*7.5%</f>
        <v>20.13</v>
      </c>
      <c r="G1311" s="4"/>
      <c r="H1311" s="8"/>
      <c r="I1311" s="8"/>
      <c r="J1311" s="8"/>
    </row>
    <row r="1312" spans="1:10" s="9" customFormat="1" ht="12.75" customHeight="1">
      <c r="B1312" s="3" t="s">
        <v>8</v>
      </c>
      <c r="C1312" s="16">
        <v>1.25</v>
      </c>
      <c r="D1312" s="16" t="s">
        <v>9</v>
      </c>
      <c r="E1312" s="16">
        <v>175</v>
      </c>
      <c r="F1312" s="16">
        <f>C1312*E1312</f>
        <v>218.75</v>
      </c>
      <c r="G1312" s="4"/>
      <c r="H1312" s="8"/>
      <c r="I1312" s="8"/>
      <c r="J1312" s="8"/>
    </row>
    <row r="1313" spans="2:10" s="9" customFormat="1" ht="12.75" customHeight="1">
      <c r="B1313" s="3" t="s">
        <v>117</v>
      </c>
      <c r="C1313" s="16"/>
      <c r="D1313" s="16"/>
      <c r="E1313" s="16"/>
      <c r="F1313" s="16">
        <f>SUM(F1309:F1312)</f>
        <v>527.41</v>
      </c>
      <c r="G1313" s="4"/>
      <c r="H1313" s="8"/>
      <c r="I1313" s="8"/>
      <c r="J1313" s="8"/>
    </row>
    <row r="1314" spans="2:10" s="9" customFormat="1" ht="12.75" customHeight="1">
      <c r="B1314" s="3" t="s">
        <v>50</v>
      </c>
      <c r="C1314" s="16"/>
      <c r="D1314" s="16"/>
      <c r="E1314" s="16"/>
      <c r="F1314" s="16">
        <f>F1313/10</f>
        <v>52.741</v>
      </c>
      <c r="G1314" s="4"/>
      <c r="H1314" s="8"/>
      <c r="I1314" s="8"/>
      <c r="J1314" s="8"/>
    </row>
    <row r="1315" spans="2:10" s="9" customFormat="1" ht="12.75" customHeight="1">
      <c r="B1315" s="371" t="s">
        <v>530</v>
      </c>
      <c r="C1315" s="16"/>
      <c r="D1315" s="16"/>
      <c r="E1315" s="16"/>
      <c r="F1315" s="16">
        <f>F1314*0.01</f>
        <v>0.52741000000000005</v>
      </c>
      <c r="G1315" s="4"/>
      <c r="H1315" s="8"/>
      <c r="I1315" s="8"/>
      <c r="J1315" s="8"/>
    </row>
    <row r="1316" spans="2:10" s="9" customFormat="1" ht="12.75" customHeight="1">
      <c r="B1316" s="371" t="s">
        <v>117</v>
      </c>
      <c r="C1316" s="16"/>
      <c r="D1316" s="16"/>
      <c r="E1316" s="16"/>
      <c r="F1316" s="16">
        <f>SUM(F1314:F1315)</f>
        <v>53.268410000000003</v>
      </c>
      <c r="G1316" s="4"/>
      <c r="H1316" s="8"/>
      <c r="I1316" s="8"/>
      <c r="J1316" s="8"/>
    </row>
    <row r="1317" spans="2:10" s="9" customFormat="1" ht="12.75" customHeight="1">
      <c r="B1317" s="131"/>
      <c r="C1317" s="140"/>
      <c r="D1317" s="58"/>
      <c r="E1317" s="140" t="s">
        <v>120</v>
      </c>
      <c r="F1317" s="140">
        <f>ROUND(F1316,1)</f>
        <v>53.3</v>
      </c>
      <c r="G1317" s="4"/>
      <c r="H1317" s="8"/>
      <c r="I1317" s="8"/>
      <c r="J1317" s="8"/>
    </row>
    <row r="1318" spans="2:10" s="9" customFormat="1" ht="12.75" customHeight="1">
      <c r="B1318" s="20"/>
      <c r="C1318" s="4"/>
      <c r="D1318" s="4"/>
      <c r="E1318" s="4"/>
      <c r="F1318" s="4"/>
      <c r="G1318" s="4"/>
      <c r="H1318" s="8"/>
      <c r="I1318" s="8"/>
      <c r="J1318" s="8"/>
    </row>
    <row r="1319" spans="2:10" s="9" customFormat="1" ht="12.75" customHeight="1">
      <c r="B1319" s="136" t="s">
        <v>10</v>
      </c>
      <c r="C1319" s="4"/>
      <c r="D1319" s="4"/>
      <c r="E1319" s="4"/>
      <c r="F1319" s="4"/>
      <c r="G1319" s="4"/>
      <c r="H1319" s="8"/>
      <c r="I1319" s="8"/>
      <c r="J1319" s="8"/>
    </row>
    <row r="1320" spans="2:10" s="9" customFormat="1" ht="12.75" customHeight="1">
      <c r="B1320" s="19" t="s">
        <v>11</v>
      </c>
      <c r="C1320" s="4"/>
      <c r="D1320" s="4"/>
      <c r="E1320" s="4"/>
      <c r="F1320" s="4"/>
      <c r="G1320" s="4"/>
      <c r="H1320" s="8"/>
      <c r="I1320" s="8"/>
      <c r="J1320" s="8"/>
    </row>
    <row r="1321" spans="2:10" s="9" customFormat="1" ht="12.75" customHeight="1">
      <c r="B1321" s="19" t="s">
        <v>6</v>
      </c>
      <c r="C1321" s="4">
        <v>0.5</v>
      </c>
      <c r="D1321" s="4" t="s">
        <v>114</v>
      </c>
      <c r="E1321" s="16">
        <f>Lead!J66</f>
        <v>260</v>
      </c>
      <c r="F1321" s="16">
        <f>E1321*C1321</f>
        <v>130</v>
      </c>
      <c r="G1321" s="4"/>
      <c r="H1321" s="8"/>
      <c r="I1321" s="8"/>
      <c r="J1321" s="8"/>
    </row>
    <row r="1322" spans="2:10" s="9" customFormat="1" ht="12.75" customHeight="1">
      <c r="B1322" s="19" t="s">
        <v>27</v>
      </c>
      <c r="C1322" s="4">
        <v>0.5</v>
      </c>
      <c r="D1322" s="4" t="s">
        <v>114</v>
      </c>
      <c r="E1322" s="16">
        <f>Lead!E47</f>
        <v>200</v>
      </c>
      <c r="F1322" s="16">
        <f>E1322*C1322</f>
        <v>100</v>
      </c>
      <c r="G1322" s="4"/>
      <c r="H1322" s="8"/>
      <c r="I1322" s="8"/>
      <c r="J1322" s="8"/>
    </row>
    <row r="1323" spans="2:10" s="9" customFormat="1" ht="12.75" customHeight="1">
      <c r="B1323" s="3" t="s">
        <v>322</v>
      </c>
      <c r="C1323" s="4"/>
      <c r="D1323" s="4" t="s">
        <v>116</v>
      </c>
      <c r="E1323" s="59">
        <f>SUM(F1321:F1322)</f>
        <v>230</v>
      </c>
      <c r="F1323" s="250">
        <f>E1323*7.5%</f>
        <v>17.25</v>
      </c>
      <c r="G1323" s="4"/>
      <c r="H1323" s="8"/>
      <c r="I1323" s="8"/>
      <c r="J1323" s="8"/>
    </row>
    <row r="1324" spans="2:10" s="9" customFormat="1" ht="12.75" customHeight="1">
      <c r="B1324" s="3" t="s">
        <v>323</v>
      </c>
      <c r="C1324" s="4"/>
      <c r="D1324" s="4"/>
      <c r="E1324" s="59"/>
      <c r="F1324" s="823">
        <f>F1323</f>
        <v>17.25</v>
      </c>
      <c r="G1324" s="4"/>
      <c r="H1324" s="8"/>
      <c r="I1324" s="8"/>
      <c r="J1324" s="8"/>
    </row>
    <row r="1325" spans="2:10" s="9" customFormat="1" ht="12.75" customHeight="1">
      <c r="B1325" s="19" t="s">
        <v>117</v>
      </c>
      <c r="C1325" s="4"/>
      <c r="D1325" s="4"/>
      <c r="E1325" s="4"/>
      <c r="F1325" s="16">
        <f>SUM(F1321:F1324)</f>
        <v>264.5</v>
      </c>
      <c r="G1325" s="4"/>
      <c r="H1325" s="8"/>
      <c r="I1325" s="8"/>
      <c r="J1325" s="8"/>
    </row>
    <row r="1326" spans="2:10" s="9" customFormat="1" ht="12.75" customHeight="1">
      <c r="B1326" s="19" t="s">
        <v>12</v>
      </c>
      <c r="C1326" s="4">
        <v>0.78120000000000001</v>
      </c>
      <c r="D1326" s="4" t="s">
        <v>9</v>
      </c>
      <c r="E1326" s="4">
        <v>145</v>
      </c>
      <c r="F1326" s="16">
        <f>E1326*C1326</f>
        <v>113.274</v>
      </c>
      <c r="G1326" s="4"/>
      <c r="H1326" s="8"/>
      <c r="I1326" s="8"/>
      <c r="J1326" s="8"/>
    </row>
    <row r="1327" spans="2:10" s="9" customFormat="1" ht="12.75" customHeight="1">
      <c r="B1327" s="19" t="s">
        <v>117</v>
      </c>
      <c r="C1327" s="4"/>
      <c r="D1327" s="4"/>
      <c r="E1327" s="4"/>
      <c r="F1327" s="16">
        <f>SUM(F1325:F1326)</f>
        <v>377.774</v>
      </c>
      <c r="G1327" s="16">
        <f>F1309/10</f>
        <v>26.839999999999996</v>
      </c>
      <c r="H1327" s="8"/>
      <c r="I1327" s="8"/>
      <c r="J1327" s="8"/>
    </row>
    <row r="1328" spans="2:10" s="9" customFormat="1" ht="12.75" customHeight="1">
      <c r="B1328" s="19" t="s">
        <v>3</v>
      </c>
      <c r="C1328" s="4"/>
      <c r="D1328" s="4"/>
      <c r="E1328" s="4"/>
      <c r="F1328" s="16">
        <f>F1327/9.3</f>
        <v>40.62086021505376</v>
      </c>
      <c r="G1328" s="16">
        <f>(F1321+F1322)/9.3</f>
        <v>24.731182795698924</v>
      </c>
      <c r="H1328" s="8"/>
      <c r="I1328" s="8"/>
      <c r="J1328" s="8"/>
    </row>
    <row r="1329" spans="2:10" s="9" customFormat="1" ht="12.75" customHeight="1">
      <c r="B1329" s="371" t="s">
        <v>493</v>
      </c>
      <c r="C1329" s="4"/>
      <c r="D1329" s="4"/>
      <c r="E1329" s="4"/>
      <c r="F1329" s="59">
        <f>F1328*1%</f>
        <v>0.40620860215053761</v>
      </c>
      <c r="G1329" s="4"/>
      <c r="H1329" s="8"/>
      <c r="I1329" s="8"/>
      <c r="J1329" s="8"/>
    </row>
    <row r="1330" spans="2:10" s="9" customFormat="1" ht="12.75" customHeight="1">
      <c r="B1330" s="371" t="s">
        <v>117</v>
      </c>
      <c r="C1330" s="4"/>
      <c r="D1330" s="4"/>
      <c r="E1330" s="4"/>
      <c r="F1330" s="59">
        <f>F1328+F1329</f>
        <v>41.027068817204295</v>
      </c>
      <c r="G1330" s="4"/>
      <c r="H1330" s="8"/>
      <c r="I1330" s="8"/>
      <c r="J1330" s="8"/>
    </row>
    <row r="1331" spans="2:10" s="9" customFormat="1" ht="12.75" customHeight="1">
      <c r="B1331" s="131"/>
      <c r="C1331" s="135"/>
      <c r="D1331" s="135"/>
      <c r="E1331" s="135" t="s">
        <v>120</v>
      </c>
      <c r="F1331" s="140">
        <f>ROUND(F1330,1)</f>
        <v>41</v>
      </c>
      <c r="G1331" s="4" t="s">
        <v>350</v>
      </c>
      <c r="H1331" s="8"/>
      <c r="I1331" s="8"/>
      <c r="J1331" s="8"/>
    </row>
    <row r="1332" spans="2:10" s="9" customFormat="1" ht="12.75" customHeight="1">
      <c r="B1332" s="20"/>
      <c r="C1332" s="4"/>
      <c r="D1332" s="4"/>
      <c r="E1332" s="4"/>
      <c r="F1332" s="4"/>
      <c r="G1332" s="4"/>
      <c r="H1332" s="8"/>
      <c r="I1332" s="8"/>
      <c r="J1332" s="8"/>
    </row>
    <row r="1333" spans="2:10" s="9" customFormat="1" ht="12.75" customHeight="1">
      <c r="B1333" s="131" t="s">
        <v>71</v>
      </c>
      <c r="C1333" s="140"/>
      <c r="D1333" s="140"/>
      <c r="E1333" s="140"/>
      <c r="F1333" s="140"/>
      <c r="G1333" s="4"/>
      <c r="H1333" s="8"/>
      <c r="I1333" s="8"/>
      <c r="J1333" s="8"/>
    </row>
    <row r="1334" spans="2:10" s="9" customFormat="1" ht="12.75" customHeight="1">
      <c r="B1334" s="19" t="s">
        <v>318</v>
      </c>
      <c r="C1334" s="16"/>
      <c r="D1334" s="16"/>
      <c r="E1334" s="16"/>
      <c r="F1334" s="16">
        <f>F1328+F1314</f>
        <v>93.361860215053753</v>
      </c>
      <c r="G1334" s="4"/>
      <c r="H1334" s="8"/>
      <c r="I1334" s="8"/>
      <c r="J1334" s="8"/>
    </row>
    <row r="1335" spans="2:10" s="9" customFormat="1" ht="12.75" customHeight="1">
      <c r="B1335" s="30" t="s">
        <v>281</v>
      </c>
      <c r="C1335" s="16"/>
      <c r="D1335" s="16"/>
      <c r="E1335" s="102">
        <f>G1328+G1327</f>
        <v>51.571182795698917</v>
      </c>
      <c r="F1335" s="16">
        <f>E1335*0.03</f>
        <v>1.5471354838709674</v>
      </c>
      <c r="G1335" s="4"/>
      <c r="H1335" s="8"/>
      <c r="I1335" s="8"/>
      <c r="J1335" s="8"/>
    </row>
    <row r="1336" spans="2:10" s="9" customFormat="1" ht="12.75" customHeight="1">
      <c r="B1336" s="3" t="s">
        <v>322</v>
      </c>
      <c r="C1336" s="16"/>
      <c r="D1336" s="16"/>
      <c r="E1336" s="102"/>
      <c r="F1336" s="16">
        <f>F1335*7.5%</f>
        <v>0.11603516129032256</v>
      </c>
      <c r="G1336" s="4"/>
      <c r="H1336" s="8"/>
      <c r="I1336" s="8"/>
      <c r="J1336" s="8"/>
    </row>
    <row r="1337" spans="2:10" s="9" customFormat="1" ht="12.75" customHeight="1">
      <c r="B1337" s="3" t="s">
        <v>323</v>
      </c>
      <c r="C1337" s="16"/>
      <c r="D1337" s="16"/>
      <c r="E1337" s="102"/>
      <c r="F1337" s="410">
        <f>F1336</f>
        <v>0.11603516129032256</v>
      </c>
      <c r="G1337" s="4"/>
      <c r="H1337" s="8"/>
      <c r="I1337" s="8"/>
      <c r="J1337" s="8"/>
    </row>
    <row r="1338" spans="2:10" s="9" customFormat="1" ht="12.75" customHeight="1">
      <c r="B1338" s="30"/>
      <c r="C1338" s="16"/>
      <c r="D1338" s="16"/>
      <c r="E1338" s="102"/>
      <c r="F1338" s="16">
        <f>SUM(F1334:F1337)</f>
        <v>95.141066021505381</v>
      </c>
      <c r="G1338" s="4"/>
      <c r="H1338" s="8"/>
      <c r="I1338" s="8"/>
      <c r="J1338" s="8"/>
    </row>
    <row r="1339" spans="2:10" s="9" customFormat="1" ht="12.75" customHeight="1">
      <c r="B1339" s="30" t="s">
        <v>1188</v>
      </c>
      <c r="C1339" s="16"/>
      <c r="D1339" s="16"/>
      <c r="E1339" s="102"/>
      <c r="F1339" s="410">
        <f>F1338*1%</f>
        <v>0.95141066021505383</v>
      </c>
      <c r="G1339" s="4"/>
      <c r="H1339" s="8"/>
      <c r="I1339" s="8"/>
      <c r="J1339" s="8"/>
    </row>
    <row r="1340" spans="2:10" s="9" customFormat="1" ht="12.75" customHeight="1">
      <c r="B1340" s="371" t="s">
        <v>117</v>
      </c>
      <c r="C1340" s="16"/>
      <c r="D1340" s="16"/>
      <c r="E1340" s="16"/>
      <c r="F1340" s="16">
        <f>F1339+F1338</f>
        <v>96.092476681720441</v>
      </c>
      <c r="G1340" s="4"/>
      <c r="H1340" s="8"/>
      <c r="I1340" s="8"/>
      <c r="J1340" s="8"/>
    </row>
    <row r="1341" spans="2:10" s="9" customFormat="1" ht="12.75" customHeight="1">
      <c r="B1341" s="131"/>
      <c r="C1341" s="140"/>
      <c r="D1341" s="140"/>
      <c r="E1341" s="140" t="s">
        <v>120</v>
      </c>
      <c r="F1341" s="140">
        <f>ROUND(F1340,1)</f>
        <v>96.1</v>
      </c>
      <c r="G1341" s="4" t="s">
        <v>350</v>
      </c>
      <c r="H1341" s="8"/>
      <c r="I1341" s="8"/>
      <c r="J1341" s="8"/>
    </row>
    <row r="1342" spans="2:10" s="9" customFormat="1" ht="12.75" customHeight="1">
      <c r="B1342" s="136" t="s">
        <v>267</v>
      </c>
      <c r="C1342" s="16"/>
      <c r="D1342" s="16"/>
      <c r="E1342" s="16"/>
      <c r="F1342" s="16"/>
      <c r="G1342" s="4"/>
      <c r="H1342" s="8"/>
      <c r="I1342" s="8"/>
      <c r="J1342" s="8"/>
    </row>
    <row r="1343" spans="2:10" s="9" customFormat="1" ht="12.75" customHeight="1">
      <c r="B1343" s="19" t="s">
        <v>278</v>
      </c>
      <c r="C1343" s="16"/>
      <c r="D1343" s="16"/>
      <c r="E1343" s="16"/>
      <c r="F1343" s="16">
        <f>F1338</f>
        <v>95.141066021505381</v>
      </c>
      <c r="G1343" s="4"/>
      <c r="H1343" s="8"/>
      <c r="I1343" s="8"/>
      <c r="J1343" s="8"/>
    </row>
    <row r="1344" spans="2:10" s="9" customFormat="1" ht="12.75" customHeight="1">
      <c r="B1344" s="30" t="s">
        <v>282</v>
      </c>
      <c r="C1344" s="16"/>
      <c r="D1344" s="16"/>
      <c r="E1344" s="16">
        <f>E1335+F1335</f>
        <v>53.118318279569884</v>
      </c>
      <c r="F1344" s="16">
        <f>E1344*0.03</f>
        <v>1.5935495483870965</v>
      </c>
      <c r="G1344" s="4"/>
      <c r="H1344" s="8"/>
      <c r="I1344" s="8"/>
      <c r="J1344" s="8"/>
    </row>
    <row r="1345" spans="1:10" s="9" customFormat="1" ht="12.75" customHeight="1">
      <c r="B1345" s="3" t="s">
        <v>322</v>
      </c>
      <c r="C1345" s="16"/>
      <c r="D1345" s="16"/>
      <c r="E1345" s="102"/>
      <c r="F1345" s="16">
        <f>F1344*7.5%</f>
        <v>0.11951621612903224</v>
      </c>
      <c r="G1345" s="4"/>
      <c r="H1345" s="8"/>
      <c r="I1345" s="8"/>
      <c r="J1345" s="8"/>
    </row>
    <row r="1346" spans="1:10" s="9" customFormat="1" ht="12.75" customHeight="1">
      <c r="B1346" s="3" t="s">
        <v>323</v>
      </c>
      <c r="C1346" s="16"/>
      <c r="D1346" s="16"/>
      <c r="E1346" s="102"/>
      <c r="F1346" s="410">
        <f>F1345</f>
        <v>0.11951621612903224</v>
      </c>
      <c r="G1346" s="4"/>
      <c r="H1346" s="8"/>
      <c r="I1346" s="8"/>
      <c r="J1346" s="8"/>
    </row>
    <row r="1347" spans="1:10" s="9" customFormat="1" ht="12.75" customHeight="1">
      <c r="B1347" s="3"/>
      <c r="C1347" s="16"/>
      <c r="D1347" s="16"/>
      <c r="E1347" s="102"/>
      <c r="F1347" s="102">
        <f>SUM(F1343:F1346)</f>
        <v>96.97364800215054</v>
      </c>
      <c r="G1347" s="4"/>
      <c r="H1347" s="8"/>
      <c r="I1347" s="8"/>
      <c r="J1347" s="8"/>
    </row>
    <row r="1348" spans="1:10" s="9" customFormat="1" ht="12.75" customHeight="1">
      <c r="B1348" s="30" t="s">
        <v>1188</v>
      </c>
      <c r="C1348" s="16"/>
      <c r="D1348" s="16"/>
      <c r="E1348" s="102"/>
      <c r="F1348" s="410">
        <f>F1347*1%</f>
        <v>0.96973648002150548</v>
      </c>
      <c r="G1348" s="4"/>
      <c r="H1348" s="8"/>
      <c r="I1348" s="8"/>
      <c r="J1348" s="8"/>
    </row>
    <row r="1349" spans="1:10" s="9" customFormat="1" ht="12.75" customHeight="1">
      <c r="B1349" s="371" t="s">
        <v>117</v>
      </c>
      <c r="C1349" s="16"/>
      <c r="D1349" s="16"/>
      <c r="E1349" s="16"/>
      <c r="F1349" s="16">
        <f>F1348+F1347</f>
        <v>97.94338448217205</v>
      </c>
      <c r="G1349" s="4"/>
      <c r="H1349" s="8"/>
      <c r="I1349" s="8"/>
      <c r="J1349" s="8"/>
    </row>
    <row r="1350" spans="1:10" s="9" customFormat="1" ht="12.75" customHeight="1">
      <c r="B1350" s="131"/>
      <c r="C1350" s="140"/>
      <c r="D1350" s="140"/>
      <c r="E1350" s="140" t="s">
        <v>120</v>
      </c>
      <c r="F1350" s="140">
        <f>ROUND(F1349,1)</f>
        <v>97.9</v>
      </c>
      <c r="G1350" s="4" t="s">
        <v>350</v>
      </c>
      <c r="H1350" s="8"/>
      <c r="I1350" s="8"/>
      <c r="J1350" s="8"/>
    </row>
    <row r="1351" spans="1:10" s="9" customFormat="1">
      <c r="C1351" s="8"/>
      <c r="D1351" s="8"/>
      <c r="E1351" s="8"/>
      <c r="F1351" s="8"/>
      <c r="G1351" s="8"/>
      <c r="H1351" s="8"/>
      <c r="I1351" s="8"/>
      <c r="J1351" s="8"/>
    </row>
    <row r="1352" spans="1:10" s="9" customFormat="1">
      <c r="C1352" s="8"/>
      <c r="D1352" s="8"/>
      <c r="E1352" s="8"/>
      <c r="F1352" s="8"/>
      <c r="G1352" s="8"/>
      <c r="H1352" s="8"/>
      <c r="I1352" s="8"/>
      <c r="J1352" s="8"/>
    </row>
    <row r="1353" spans="1:10" s="9" customFormat="1">
      <c r="A1353" s="353">
        <v>37</v>
      </c>
      <c r="B1353" s="129" t="s">
        <v>1189</v>
      </c>
      <c r="C1353" s="4" t="s">
        <v>1190</v>
      </c>
      <c r="D1353" s="4"/>
      <c r="E1353" s="775"/>
      <c r="F1353" s="4"/>
      <c r="G1353" s="4"/>
      <c r="H1353" s="8"/>
      <c r="I1353" s="8"/>
      <c r="J1353" s="8"/>
    </row>
    <row r="1354" spans="1:10" s="9" customFormat="1">
      <c r="A1354" s="121"/>
      <c r="B1354" s="398" t="s">
        <v>1191</v>
      </c>
      <c r="C1354" s="16">
        <v>2.2000000000000002</v>
      </c>
      <c r="D1354" s="435" t="s">
        <v>350</v>
      </c>
      <c r="E1354" s="16">
        <v>1243</v>
      </c>
      <c r="F1354" s="121">
        <f>E1354*C1354</f>
        <v>2734.6000000000004</v>
      </c>
      <c r="G1354" s="771"/>
      <c r="H1354" s="8"/>
      <c r="I1354" s="8"/>
      <c r="J1354" s="8"/>
    </row>
    <row r="1355" spans="1:10">
      <c r="A1355" s="121"/>
      <c r="B1355" s="144" t="s">
        <v>1192</v>
      </c>
      <c r="C1355" s="16">
        <v>4.4000000000000004</v>
      </c>
      <c r="D1355" s="435" t="s">
        <v>350</v>
      </c>
      <c r="E1355" s="434">
        <v>438.47</v>
      </c>
      <c r="F1355" s="436">
        <f>E1355*C1355</f>
        <v>1929.2680000000003</v>
      </c>
      <c r="G1355" s="771"/>
    </row>
    <row r="1356" spans="1:10">
      <c r="A1356" s="121"/>
      <c r="B1356" s="20"/>
      <c r="C1356" s="16"/>
      <c r="D1356" s="435"/>
      <c r="E1356" s="140" t="s">
        <v>117</v>
      </c>
      <c r="F1356" s="140">
        <f>F1354+F1355</f>
        <v>4663.8680000000004</v>
      </c>
      <c r="G1356" s="771"/>
    </row>
    <row r="1357" spans="1:10">
      <c r="A1357" s="121"/>
      <c r="B1357" s="144" t="s">
        <v>351</v>
      </c>
      <c r="C1357" s="16"/>
      <c r="D1357" s="435"/>
      <c r="E1357" s="16"/>
      <c r="F1357" s="210">
        <f>F1356*5%</f>
        <v>233.19340000000003</v>
      </c>
      <c r="G1357" s="771"/>
    </row>
    <row r="1358" spans="1:10">
      <c r="A1358" s="121"/>
      <c r="B1358" s="20"/>
      <c r="C1358" s="16"/>
      <c r="D1358" s="435"/>
      <c r="E1358" s="140" t="s">
        <v>117</v>
      </c>
      <c r="F1358" s="140">
        <f>F1356+F1357</f>
        <v>4897.0614000000005</v>
      </c>
      <c r="G1358" s="771"/>
    </row>
    <row r="1359" spans="1:10">
      <c r="A1359" s="121"/>
      <c r="B1359" s="144" t="s">
        <v>1193</v>
      </c>
      <c r="C1359" s="16">
        <v>1</v>
      </c>
      <c r="D1359" s="435" t="s">
        <v>1194</v>
      </c>
      <c r="E1359" s="16">
        <v>1500</v>
      </c>
      <c r="F1359" s="121">
        <f>E1359*C1359</f>
        <v>1500</v>
      </c>
      <c r="G1359" s="771"/>
    </row>
    <row r="1360" spans="1:10">
      <c r="A1360" s="121"/>
      <c r="B1360" s="144" t="s">
        <v>1195</v>
      </c>
      <c r="C1360" s="16">
        <v>1</v>
      </c>
      <c r="D1360" s="435" t="s">
        <v>409</v>
      </c>
      <c r="E1360" s="16">
        <v>150</v>
      </c>
      <c r="F1360" s="121">
        <f>E1360*C1360</f>
        <v>150</v>
      </c>
      <c r="G1360" s="771"/>
    </row>
    <row r="1361" spans="1:7">
      <c r="A1361" s="121"/>
      <c r="B1361" s="144" t="s">
        <v>1196</v>
      </c>
      <c r="C1361" s="16">
        <v>2</v>
      </c>
      <c r="D1361" s="435" t="s">
        <v>409</v>
      </c>
      <c r="E1361" s="16">
        <v>500</v>
      </c>
      <c r="F1361" s="121">
        <f>E1361*C1361</f>
        <v>1000</v>
      </c>
      <c r="G1361" s="771"/>
    </row>
    <row r="1362" spans="1:7">
      <c r="A1362" s="121"/>
      <c r="B1362" s="144" t="s">
        <v>1197</v>
      </c>
      <c r="C1362" s="16">
        <v>1</v>
      </c>
      <c r="D1362" s="435" t="s">
        <v>409</v>
      </c>
      <c r="E1362" s="16">
        <v>750</v>
      </c>
      <c r="F1362" s="121">
        <f>E1362*C1362</f>
        <v>750</v>
      </c>
      <c r="G1362" s="771"/>
    </row>
    <row r="1363" spans="1:7">
      <c r="A1363" s="121"/>
      <c r="B1363" s="144" t="s">
        <v>1198</v>
      </c>
      <c r="C1363" s="4"/>
      <c r="D1363" s="435" t="s">
        <v>29</v>
      </c>
      <c r="E1363" s="16"/>
      <c r="F1363" s="436">
        <v>500</v>
      </c>
      <c r="G1363" s="771"/>
    </row>
    <row r="1364" spans="1:7">
      <c r="A1364" s="121"/>
      <c r="B1364" s="20"/>
      <c r="C1364" s="4"/>
      <c r="D1364" s="16"/>
      <c r="E1364" s="16"/>
      <c r="F1364" s="16">
        <f>SUM(F1358:F1363)</f>
        <v>8797.0614000000005</v>
      </c>
      <c r="G1364" s="4" t="s">
        <v>1199</v>
      </c>
    </row>
    <row r="1365" spans="1:7">
      <c r="A1365" s="121"/>
      <c r="B1365" s="20"/>
      <c r="C1365" s="4"/>
      <c r="D1365" s="16"/>
      <c r="E1365" s="435"/>
      <c r="F1365" s="16">
        <f>F1364/2.2</f>
        <v>3998.6642727272724</v>
      </c>
      <c r="G1365" s="4" t="s">
        <v>388</v>
      </c>
    </row>
    <row r="1366" spans="1:7">
      <c r="A1366" s="121"/>
      <c r="B1366" s="149"/>
      <c r="C1366" s="121"/>
      <c r="D1366" s="121"/>
      <c r="E1366" s="775"/>
      <c r="F1366" s="121"/>
      <c r="G1366" s="771"/>
    </row>
    <row r="1367" spans="1:7">
      <c r="A1367" s="121"/>
      <c r="B1367" s="20" t="s">
        <v>1200</v>
      </c>
      <c r="C1367" s="4"/>
      <c r="D1367" s="4"/>
      <c r="E1367" s="824"/>
      <c r="F1367" s="16"/>
      <c r="G1367" s="771"/>
    </row>
    <row r="1368" spans="1:7">
      <c r="A1368" s="121"/>
      <c r="B1368" s="20" t="s">
        <v>340</v>
      </c>
      <c r="C1368" s="4">
        <v>2</v>
      </c>
      <c r="D1368" s="4" t="s">
        <v>506</v>
      </c>
      <c r="E1368" s="825">
        <f>Lead!E66</f>
        <v>260</v>
      </c>
      <c r="F1368" s="16">
        <f>E1368*C1368</f>
        <v>520</v>
      </c>
      <c r="G1368" s="375"/>
    </row>
    <row r="1369" spans="1:7">
      <c r="A1369" s="121"/>
      <c r="B1369" s="20" t="s">
        <v>1201</v>
      </c>
      <c r="C1369" s="4">
        <v>2</v>
      </c>
      <c r="D1369" s="4" t="s">
        <v>506</v>
      </c>
      <c r="E1369" s="825">
        <f>Lead!J52</f>
        <v>220</v>
      </c>
      <c r="F1369" s="410">
        <f>E1369*C1369</f>
        <v>440</v>
      </c>
      <c r="G1369" s="375"/>
    </row>
    <row r="1370" spans="1:7">
      <c r="A1370" s="121"/>
      <c r="B1370" s="20"/>
      <c r="C1370" s="4"/>
      <c r="D1370" s="4"/>
      <c r="E1370" s="824"/>
      <c r="F1370" s="16">
        <f>SUM(F1368:F1369)</f>
        <v>960</v>
      </c>
      <c r="G1370" s="776" t="s">
        <v>1202</v>
      </c>
    </row>
    <row r="1371" spans="1:7">
      <c r="A1371" s="121"/>
      <c r="B1371" s="20"/>
      <c r="C1371" s="4"/>
      <c r="D1371" s="121"/>
      <c r="E1371" s="4"/>
      <c r="F1371" s="437">
        <f>F1370/1.88</f>
        <v>510.63829787234044</v>
      </c>
      <c r="G1371" s="4" t="s">
        <v>388</v>
      </c>
    </row>
    <row r="1372" spans="1:7">
      <c r="A1372" s="121"/>
      <c r="B1372" s="144" t="s">
        <v>1203</v>
      </c>
      <c r="C1372" s="4"/>
      <c r="D1372" s="4"/>
      <c r="E1372" s="775"/>
      <c r="F1372" s="4"/>
      <c r="G1372" s="771"/>
    </row>
    <row r="1373" spans="1:7">
      <c r="A1373" s="121"/>
      <c r="B1373" s="20" t="s">
        <v>298</v>
      </c>
      <c r="C1373" s="438">
        <v>1</v>
      </c>
      <c r="D1373" s="4" t="s">
        <v>506</v>
      </c>
      <c r="E1373" s="825">
        <f>Lead!E60</f>
        <v>240</v>
      </c>
      <c r="F1373" s="16">
        <f>E1373*C1373</f>
        <v>240</v>
      </c>
      <c r="G1373" s="375"/>
    </row>
    <row r="1374" spans="1:7">
      <c r="A1374" s="121"/>
      <c r="B1374" s="20" t="s">
        <v>313</v>
      </c>
      <c r="C1374" s="438">
        <v>1</v>
      </c>
      <c r="D1374" s="4" t="s">
        <v>506</v>
      </c>
      <c r="E1374" s="825">
        <f>Lead!E47</f>
        <v>200</v>
      </c>
      <c r="F1374" s="410">
        <f>E1374*C1374</f>
        <v>200</v>
      </c>
      <c r="G1374" s="771"/>
    </row>
    <row r="1375" spans="1:7">
      <c r="A1375" s="121"/>
      <c r="B1375" s="20"/>
      <c r="C1375" s="4"/>
      <c r="D1375" s="16"/>
      <c r="E1375" s="824"/>
      <c r="F1375" s="16">
        <f>SUM(F1373:F1374)</f>
        <v>440</v>
      </c>
      <c r="G1375" s="776" t="s">
        <v>1202</v>
      </c>
    </row>
    <row r="1376" spans="1:7">
      <c r="A1376" s="121"/>
      <c r="B1376" s="20"/>
      <c r="C1376" s="4"/>
      <c r="D1376" s="16"/>
      <c r="E1376" s="16"/>
      <c r="F1376" s="437">
        <f>F1375/1.88</f>
        <v>234.04255319148936</v>
      </c>
      <c r="G1376" s="4" t="s">
        <v>388</v>
      </c>
    </row>
    <row r="1377" spans="1:10">
      <c r="A1377" s="121"/>
      <c r="B1377" s="149"/>
      <c r="C1377" s="121"/>
      <c r="D1377" s="121"/>
      <c r="E1377" s="437" t="s">
        <v>117</v>
      </c>
      <c r="F1377" s="16">
        <f>F1365+F1371+F1376</f>
        <v>4743.3451237911031</v>
      </c>
      <c r="G1377" s="771"/>
    </row>
    <row r="1378" spans="1:10">
      <c r="A1378" s="121"/>
      <c r="B1378" s="149" t="s">
        <v>512</v>
      </c>
      <c r="C1378" s="826"/>
      <c r="D1378" s="826"/>
      <c r="E1378" s="827"/>
      <c r="F1378" s="16">
        <f>F1377*7.5%</f>
        <v>355.7508842843327</v>
      </c>
      <c r="G1378" s="826"/>
    </row>
    <row r="1379" spans="1:10">
      <c r="A1379" s="121"/>
      <c r="B1379" s="149" t="s">
        <v>498</v>
      </c>
      <c r="C1379" s="826"/>
      <c r="D1379" s="826"/>
      <c r="E1379" s="827"/>
      <c r="F1379" s="16">
        <f>F1377*7.5%</f>
        <v>355.7508842843327</v>
      </c>
      <c r="G1379" s="826"/>
    </row>
    <row r="1380" spans="1:10">
      <c r="A1380" s="121"/>
      <c r="B1380" s="149"/>
      <c r="C1380" s="121"/>
      <c r="D1380" s="121"/>
      <c r="E1380" s="437" t="s">
        <v>117</v>
      </c>
      <c r="F1380" s="130">
        <f>SUM(F1377:F1379)</f>
        <v>5454.8468923597684</v>
      </c>
      <c r="G1380" s="4" t="s">
        <v>388</v>
      </c>
    </row>
    <row r="1381" spans="1:10">
      <c r="A1381" s="121"/>
      <c r="B1381" s="20" t="s">
        <v>1204</v>
      </c>
      <c r="C1381" s="121"/>
      <c r="D1381" s="121"/>
      <c r="E1381" s="775"/>
      <c r="F1381" s="210">
        <f>F1380*1%</f>
        <v>54.548468923597682</v>
      </c>
      <c r="G1381" s="771"/>
    </row>
    <row r="1382" spans="1:10">
      <c r="A1382" s="121"/>
      <c r="B1382" s="149"/>
      <c r="C1382" s="121"/>
      <c r="D1382" s="121"/>
      <c r="E1382" s="775"/>
      <c r="F1382" s="120">
        <f>SUM(F1380:F1381)</f>
        <v>5509.3953612833657</v>
      </c>
      <c r="G1382" s="4" t="s">
        <v>388</v>
      </c>
    </row>
    <row r="1383" spans="1:10">
      <c r="A1383" s="121"/>
      <c r="B1383" s="398"/>
      <c r="C1383" s="771"/>
      <c r="D1383" s="771"/>
      <c r="E1383" s="828" t="s">
        <v>120</v>
      </c>
      <c r="F1383" s="829">
        <f>ROUND(F1382,0)</f>
        <v>5509</v>
      </c>
      <c r="G1383" s="4" t="s">
        <v>388</v>
      </c>
    </row>
    <row r="1384" spans="1:10">
      <c r="A1384" s="121"/>
      <c r="B1384" s="149"/>
      <c r="C1384" s="121"/>
      <c r="D1384" s="121"/>
      <c r="E1384" s="121"/>
      <c r="F1384" s="121"/>
      <c r="G1384" s="121"/>
    </row>
    <row r="1386" spans="1:10" s="149" customFormat="1" ht="25.5">
      <c r="A1386" s="149">
        <v>38</v>
      </c>
      <c r="B1386" s="462" t="s">
        <v>1272</v>
      </c>
      <c r="C1386" s="806"/>
      <c r="D1386" s="806"/>
      <c r="E1386" s="806"/>
      <c r="F1386" s="830"/>
      <c r="G1386" s="831"/>
      <c r="H1386" s="776"/>
      <c r="I1386" s="121"/>
      <c r="J1386" s="121"/>
    </row>
    <row r="1387" spans="1:10" s="149" customFormat="1">
      <c r="B1387" s="463" t="s">
        <v>1255</v>
      </c>
      <c r="C1387" s="470"/>
      <c r="D1387" s="806" t="s">
        <v>46</v>
      </c>
      <c r="E1387" s="806"/>
      <c r="F1387" s="832"/>
      <c r="G1387" s="806"/>
      <c r="H1387" s="776"/>
      <c r="I1387" s="121"/>
      <c r="J1387" s="121"/>
    </row>
    <row r="1388" spans="1:10" s="149" customFormat="1">
      <c r="B1388" s="127" t="s">
        <v>502</v>
      </c>
      <c r="C1388" s="806"/>
      <c r="D1388" s="806"/>
      <c r="E1388" s="806"/>
      <c r="F1388" s="832"/>
      <c r="G1388" s="806"/>
      <c r="H1388" s="776"/>
      <c r="I1388" s="121"/>
      <c r="J1388" s="121"/>
    </row>
    <row r="1389" spans="1:10" s="149" customFormat="1">
      <c r="B1389" s="464" t="s">
        <v>1009</v>
      </c>
      <c r="C1389" s="468">
        <v>10</v>
      </c>
      <c r="D1389" s="467" t="s">
        <v>32</v>
      </c>
      <c r="E1389" s="468">
        <v>491</v>
      </c>
      <c r="F1389" s="469" t="s">
        <v>1256</v>
      </c>
      <c r="G1389" s="468">
        <f>C1389*E1389</f>
        <v>4910</v>
      </c>
      <c r="H1389" s="776"/>
      <c r="I1389" s="121"/>
      <c r="J1389" s="121"/>
    </row>
    <row r="1390" spans="1:10" s="149" customFormat="1">
      <c r="B1390" s="464" t="s">
        <v>178</v>
      </c>
      <c r="C1390" s="833">
        <v>1.857</v>
      </c>
      <c r="D1390" s="467" t="s">
        <v>420</v>
      </c>
      <c r="E1390" s="468">
        <f>Lead!E29</f>
        <v>650</v>
      </c>
      <c r="F1390" s="469" t="s">
        <v>1257</v>
      </c>
      <c r="G1390" s="468">
        <f>C1390*E1390</f>
        <v>1207.05</v>
      </c>
      <c r="H1390" s="776"/>
      <c r="I1390" s="121"/>
      <c r="J1390" s="121"/>
    </row>
    <row r="1391" spans="1:10" s="149" customFormat="1">
      <c r="B1391" s="464" t="s">
        <v>162</v>
      </c>
      <c r="C1391" s="468">
        <v>0.13</v>
      </c>
      <c r="D1391" s="467" t="s">
        <v>432</v>
      </c>
      <c r="E1391" s="468">
        <f>Lead!E20</f>
        <v>55</v>
      </c>
      <c r="F1391" s="469" t="s">
        <v>100</v>
      </c>
      <c r="G1391" s="468">
        <f>C1391*E1391</f>
        <v>7.15</v>
      </c>
      <c r="H1391" s="776"/>
      <c r="I1391" s="121"/>
      <c r="J1391" s="121"/>
    </row>
    <row r="1392" spans="1:10" s="149" customFormat="1">
      <c r="B1392" s="464" t="s">
        <v>1258</v>
      </c>
      <c r="C1392" s="468">
        <v>0.44</v>
      </c>
      <c r="D1392" s="467" t="s">
        <v>420</v>
      </c>
      <c r="E1392" s="468">
        <f>Lead!E29</f>
        <v>650</v>
      </c>
      <c r="F1392" s="469" t="s">
        <v>1257</v>
      </c>
      <c r="G1392" s="468">
        <f>C1392*E1392</f>
        <v>286</v>
      </c>
      <c r="H1392" s="776"/>
      <c r="I1392" s="121"/>
      <c r="J1392" s="121"/>
    </row>
    <row r="1393" spans="2:10" s="149" customFormat="1">
      <c r="B1393" s="464" t="s">
        <v>1259</v>
      </c>
      <c r="C1393" s="468">
        <v>0.44</v>
      </c>
      <c r="D1393" s="467" t="s">
        <v>420</v>
      </c>
      <c r="E1393" s="468">
        <f>Lead!E29</f>
        <v>650</v>
      </c>
      <c r="F1393" s="469" t="s">
        <v>1257</v>
      </c>
      <c r="G1393" s="468">
        <f>C1393*E1393</f>
        <v>286</v>
      </c>
      <c r="H1393" s="776"/>
      <c r="I1393" s="121"/>
      <c r="J1393" s="121"/>
    </row>
    <row r="1394" spans="2:10" s="149" customFormat="1">
      <c r="B1394" s="127" t="s">
        <v>505</v>
      </c>
      <c r="C1394" s="806"/>
      <c r="D1394" s="806"/>
      <c r="E1394" s="806"/>
      <c r="F1394" s="832"/>
      <c r="G1394" s="806"/>
      <c r="H1394" s="806"/>
      <c r="I1394" s="121"/>
      <c r="J1394" s="121"/>
    </row>
    <row r="1395" spans="2:10" s="149" customFormat="1">
      <c r="B1395" s="464" t="s">
        <v>155</v>
      </c>
      <c r="C1395" s="468">
        <v>2.16</v>
      </c>
      <c r="D1395" s="467" t="s">
        <v>506</v>
      </c>
      <c r="E1395" s="468">
        <f>Lead!E64</f>
        <v>260</v>
      </c>
      <c r="F1395" s="469" t="s">
        <v>656</v>
      </c>
      <c r="G1395" s="468">
        <f>C1395*E1395</f>
        <v>561.6</v>
      </c>
      <c r="H1395" s="806"/>
      <c r="I1395" s="121"/>
      <c r="J1395" s="121"/>
    </row>
    <row r="1396" spans="2:10" s="149" customFormat="1">
      <c r="B1396" s="464" t="s">
        <v>154</v>
      </c>
      <c r="C1396" s="468">
        <v>5.5</v>
      </c>
      <c r="D1396" s="467" t="s">
        <v>506</v>
      </c>
      <c r="E1396" s="468">
        <f>Lead!E54</f>
        <v>220</v>
      </c>
      <c r="F1396" s="469" t="s">
        <v>656</v>
      </c>
      <c r="G1396" s="468">
        <f>C1396*E1396</f>
        <v>1210</v>
      </c>
      <c r="H1396" s="806"/>
      <c r="I1396" s="121"/>
      <c r="J1396" s="121"/>
    </row>
    <row r="1397" spans="2:10" s="149" customFormat="1">
      <c r="B1397" s="464" t="s">
        <v>1260</v>
      </c>
      <c r="C1397" s="468">
        <v>2.16</v>
      </c>
      <c r="D1397" s="467" t="s">
        <v>506</v>
      </c>
      <c r="E1397" s="468">
        <f>Lead!E47</f>
        <v>200</v>
      </c>
      <c r="F1397" s="469" t="s">
        <v>656</v>
      </c>
      <c r="G1397" s="468">
        <f>C1397*E1397</f>
        <v>432</v>
      </c>
      <c r="H1397" s="832"/>
      <c r="I1397" s="121"/>
      <c r="J1397" s="121"/>
    </row>
    <row r="1398" spans="2:10" s="149" customFormat="1">
      <c r="B1398" s="465" t="s">
        <v>1261</v>
      </c>
      <c r="C1398" s="806"/>
      <c r="D1398" s="806"/>
      <c r="E1398" s="806"/>
      <c r="F1398" s="832"/>
      <c r="G1398" s="807">
        <f>SUM(G1389:G1397)*10%</f>
        <v>889.98</v>
      </c>
      <c r="H1398" s="806"/>
      <c r="I1398" s="121"/>
      <c r="J1398" s="121"/>
    </row>
    <row r="1399" spans="2:10" s="149" customFormat="1">
      <c r="B1399" s="127" t="s">
        <v>524</v>
      </c>
      <c r="C1399" s="806"/>
      <c r="D1399" s="806"/>
      <c r="E1399" s="806"/>
      <c r="F1399" s="832"/>
      <c r="G1399" s="806"/>
      <c r="H1399" s="776"/>
      <c r="I1399" s="121"/>
      <c r="J1399" s="121"/>
    </row>
    <row r="1400" spans="2:10" s="149" customFormat="1">
      <c r="B1400" s="464" t="s">
        <v>178</v>
      </c>
      <c r="C1400" s="468">
        <v>2.7370000000000001</v>
      </c>
      <c r="D1400" s="467" t="s">
        <v>420</v>
      </c>
      <c r="E1400" s="468">
        <f>Lead!J29</f>
        <v>16.899999999999999</v>
      </c>
      <c r="F1400" s="469" t="s">
        <v>1257</v>
      </c>
      <c r="G1400" s="468">
        <f>C1400*E1400</f>
        <v>46.255299999999998</v>
      </c>
      <c r="H1400" s="776"/>
      <c r="I1400" s="121"/>
      <c r="J1400" s="121"/>
    </row>
    <row r="1401" spans="2:10" s="149" customFormat="1">
      <c r="B1401" s="464" t="s">
        <v>162</v>
      </c>
      <c r="C1401" s="468">
        <v>0.13</v>
      </c>
      <c r="D1401" s="467" t="s">
        <v>432</v>
      </c>
      <c r="E1401" s="468">
        <f>Lead!J20</f>
        <v>196.4</v>
      </c>
      <c r="F1401" s="469" t="s">
        <v>100</v>
      </c>
      <c r="G1401" s="468">
        <f>C1401*E1401</f>
        <v>25.532</v>
      </c>
      <c r="H1401" s="776"/>
      <c r="I1401" s="121"/>
      <c r="J1401" s="121"/>
    </row>
    <row r="1402" spans="2:10" s="149" customFormat="1">
      <c r="B1402" s="464" t="s">
        <v>1254</v>
      </c>
      <c r="C1402" s="468">
        <v>10</v>
      </c>
      <c r="D1402" s="467" t="s">
        <v>32</v>
      </c>
      <c r="E1402" s="468">
        <v>9.5299999999999994</v>
      </c>
      <c r="F1402" s="469" t="s">
        <v>1256</v>
      </c>
      <c r="G1402" s="807">
        <f>C1402*E1402</f>
        <v>95.3</v>
      </c>
      <c r="H1402" s="776"/>
      <c r="I1402" s="121"/>
      <c r="J1402" s="121"/>
    </row>
    <row r="1403" spans="2:10" s="149" customFormat="1">
      <c r="B1403" s="464"/>
      <c r="C1403" s="833"/>
      <c r="D1403" s="467"/>
      <c r="E1403" s="468"/>
      <c r="F1403" s="469"/>
      <c r="G1403" s="807"/>
      <c r="H1403" s="776"/>
      <c r="I1403" s="121"/>
      <c r="J1403" s="121"/>
    </row>
    <row r="1404" spans="2:10" s="149" customFormat="1">
      <c r="B1404" s="127"/>
      <c r="C1404" s="806"/>
      <c r="D1404" s="806"/>
      <c r="E1404" s="806"/>
      <c r="F1404" s="832"/>
      <c r="G1404" s="468">
        <f>SUM(G1389:G1403)</f>
        <v>9956.8672999999981</v>
      </c>
      <c r="H1404" s="776" t="s">
        <v>1262</v>
      </c>
      <c r="I1404" s="121"/>
      <c r="J1404" s="121"/>
    </row>
    <row r="1405" spans="2:10" s="149" customFormat="1">
      <c r="B1405" s="466" t="s">
        <v>1263</v>
      </c>
      <c r="C1405" s="467"/>
      <c r="D1405" s="467"/>
      <c r="E1405" s="468"/>
      <c r="F1405" s="469"/>
      <c r="G1405" s="468">
        <f>G1404/10</f>
        <v>995.68672999999978</v>
      </c>
      <c r="H1405" s="776" t="s">
        <v>1264</v>
      </c>
      <c r="I1405" s="121"/>
      <c r="J1405" s="121"/>
    </row>
    <row r="1406" spans="2:10" s="149" customFormat="1">
      <c r="B1406" s="388" t="s">
        <v>1265</v>
      </c>
      <c r="C1406" s="467"/>
      <c r="D1406" s="467"/>
      <c r="E1406" s="467"/>
      <c r="F1406" s="470"/>
      <c r="G1406" s="16">
        <f>G1405*1%</f>
        <v>9.9568672999999972</v>
      </c>
      <c r="H1406" s="470"/>
      <c r="I1406" s="121"/>
      <c r="J1406" s="121"/>
    </row>
    <row r="1407" spans="2:10" s="149" customFormat="1">
      <c r="B1407" s="388"/>
      <c r="C1407" s="467"/>
      <c r="D1407" s="467"/>
      <c r="E1407" s="467"/>
      <c r="F1407" s="470"/>
      <c r="G1407" s="16">
        <f>SUM(G1405:G1406)</f>
        <v>1005.6435972999998</v>
      </c>
      <c r="H1407" s="834" t="str">
        <f>H1405</f>
        <v>/sqm.</v>
      </c>
      <c r="I1407" s="121"/>
      <c r="J1407" s="121"/>
    </row>
    <row r="1408" spans="2:10" s="149" customFormat="1">
      <c r="B1408" s="471" t="s">
        <v>1008</v>
      </c>
      <c r="C1408" s="356"/>
      <c r="D1408" s="356"/>
      <c r="E1408" s="356"/>
      <c r="F1408" s="831" t="s">
        <v>543</v>
      </c>
      <c r="G1408" s="831">
        <f>ROUND(G1407,1)</f>
        <v>1005.6</v>
      </c>
      <c r="H1408" s="834" t="str">
        <f>H1407</f>
        <v>/sqm.</v>
      </c>
      <c r="I1408" s="121"/>
      <c r="J1408" s="121"/>
    </row>
    <row r="1409" spans="1:10" s="149" customFormat="1">
      <c r="B1409" s="388"/>
      <c r="C1409" s="467"/>
      <c r="D1409" s="467"/>
      <c r="E1409" s="4"/>
      <c r="F1409" s="16"/>
      <c r="G1409" s="4"/>
      <c r="H1409" s="4"/>
      <c r="I1409" s="121"/>
      <c r="J1409" s="121"/>
    </row>
    <row r="1410" spans="1:10" s="149" customFormat="1" ht="38.25">
      <c r="B1410" s="393" t="s">
        <v>1266</v>
      </c>
      <c r="C1410" s="1235" t="s">
        <v>1267</v>
      </c>
      <c r="D1410" s="1235"/>
      <c r="E1410" s="835" t="s">
        <v>1268</v>
      </c>
      <c r="F1410" s="836" t="s">
        <v>1269</v>
      </c>
      <c r="G1410" s="831"/>
      <c r="H1410" s="467"/>
      <c r="I1410" s="121"/>
      <c r="J1410" s="121"/>
    </row>
    <row r="1411" spans="1:10" s="149" customFormat="1" ht="25.5">
      <c r="B1411" s="464" t="s">
        <v>1270</v>
      </c>
      <c r="C1411" s="1233">
        <f>SUM(G1395:G1397)/10</f>
        <v>220.35999999999999</v>
      </c>
      <c r="D1411" s="1233"/>
      <c r="E1411" s="468">
        <f>C1411*5%</f>
        <v>11.018000000000001</v>
      </c>
      <c r="F1411" s="468">
        <f>E1411*10%</f>
        <v>1.1018000000000001</v>
      </c>
      <c r="G1411" s="810">
        <f>E1411+F1411</f>
        <v>12.119800000000001</v>
      </c>
      <c r="H1411" s="467"/>
      <c r="I1411" s="121"/>
      <c r="J1411" s="121"/>
    </row>
    <row r="1412" spans="1:10" s="149" customFormat="1">
      <c r="B1412" s="464"/>
      <c r="C1412" s="837"/>
      <c r="D1412" s="837"/>
      <c r="E1412" s="467"/>
      <c r="F1412" s="832"/>
      <c r="G1412" s="468">
        <f>G1408+G1411</f>
        <v>1017.7198000000001</v>
      </c>
      <c r="H1412" s="776"/>
      <c r="I1412" s="121"/>
      <c r="J1412" s="121"/>
    </row>
    <row r="1413" spans="1:10" s="149" customFormat="1" ht="13.5" thickBot="1">
      <c r="B1413" s="464"/>
      <c r="C1413" s="837"/>
      <c r="D1413" s="837"/>
      <c r="E1413" s="467"/>
      <c r="F1413" s="830" t="s">
        <v>542</v>
      </c>
      <c r="G1413" s="838">
        <f>ROUND(G1412,1)</f>
        <v>1017.7</v>
      </c>
      <c r="H1413" s="776" t="s">
        <v>544</v>
      </c>
      <c r="I1413" s="121"/>
      <c r="J1413" s="121"/>
    </row>
    <row r="1414" spans="1:10" s="149" customFormat="1" ht="13.5" thickTop="1">
      <c r="B1414" s="393" t="s">
        <v>1271</v>
      </c>
      <c r="C1414" s="813"/>
      <c r="D1414" s="835"/>
      <c r="E1414" s="835"/>
      <c r="F1414" s="468"/>
      <c r="G1414" s="831"/>
      <c r="H1414" s="467"/>
      <c r="I1414" s="121"/>
      <c r="J1414" s="121"/>
    </row>
    <row r="1415" spans="1:10" s="149" customFormat="1" ht="25.5">
      <c r="B1415" s="464" t="s">
        <v>1270</v>
      </c>
      <c r="C1415" s="1232">
        <f>C1411+E1411</f>
        <v>231.37799999999999</v>
      </c>
      <c r="D1415" s="1232"/>
      <c r="E1415" s="468">
        <f>C1415*5%</f>
        <v>11.568899999999999</v>
      </c>
      <c r="F1415" s="468">
        <f>E1415*10%</f>
        <v>1.15689</v>
      </c>
      <c r="G1415" s="810">
        <f>E1415+F1415</f>
        <v>12.72579</v>
      </c>
      <c r="H1415" s="467"/>
      <c r="I1415" s="121"/>
      <c r="J1415" s="121"/>
    </row>
    <row r="1416" spans="1:10" s="149" customFormat="1">
      <c r="B1416" s="388"/>
      <c r="C1416" s="1233"/>
      <c r="D1416" s="1233"/>
      <c r="E1416" s="467"/>
      <c r="F1416" s="832"/>
      <c r="G1416" s="468">
        <f>G1412+G1415</f>
        <v>1030.44559</v>
      </c>
      <c r="H1416" s="776" t="s">
        <v>544</v>
      </c>
      <c r="I1416" s="121"/>
      <c r="J1416" s="121"/>
    </row>
    <row r="1417" spans="1:10" s="149" customFormat="1" ht="13.5" thickBot="1">
      <c r="B1417" s="388"/>
      <c r="C1417" s="1233"/>
      <c r="D1417" s="1233"/>
      <c r="E1417" s="467"/>
      <c r="F1417" s="830" t="s">
        <v>542</v>
      </c>
      <c r="G1417" s="838">
        <f>ROUND(G1416,1)</f>
        <v>1030.4000000000001</v>
      </c>
      <c r="H1417" s="776" t="s">
        <v>544</v>
      </c>
      <c r="I1417" s="121"/>
      <c r="J1417" s="121"/>
    </row>
    <row r="1418" spans="1:10" s="149" customFormat="1" ht="13.5" thickTop="1">
      <c r="C1418" s="121"/>
      <c r="D1418" s="121"/>
      <c r="E1418" s="121"/>
      <c r="F1418" s="121"/>
      <c r="G1418" s="121"/>
      <c r="H1418" s="121"/>
      <c r="I1418" s="121"/>
      <c r="J1418" s="121"/>
    </row>
    <row r="1419" spans="1:10" s="149" customFormat="1" ht="25.5">
      <c r="A1419" s="149">
        <v>39</v>
      </c>
      <c r="B1419" s="462" t="s">
        <v>1274</v>
      </c>
      <c r="C1419" s="806"/>
      <c r="D1419" s="806"/>
      <c r="E1419" s="467"/>
      <c r="F1419" s="830"/>
      <c r="G1419" s="831"/>
      <c r="H1419" s="776"/>
      <c r="I1419" s="121"/>
      <c r="J1419" s="121"/>
    </row>
    <row r="1420" spans="1:10" s="149" customFormat="1">
      <c r="B1420" s="463" t="s">
        <v>1255</v>
      </c>
      <c r="C1420" s="470"/>
      <c r="D1420" s="806" t="s">
        <v>46</v>
      </c>
      <c r="E1420" s="806"/>
      <c r="F1420" s="830"/>
      <c r="G1420" s="831"/>
      <c r="H1420" s="776"/>
      <c r="I1420" s="121"/>
      <c r="J1420" s="121"/>
    </row>
    <row r="1421" spans="1:10" s="149" customFormat="1">
      <c r="B1421" s="127" t="s">
        <v>502</v>
      </c>
      <c r="C1421" s="806"/>
      <c r="D1421" s="806"/>
      <c r="E1421" s="806"/>
      <c r="F1421" s="832"/>
      <c r="G1421" s="806"/>
      <c r="H1421" s="776"/>
      <c r="I1421" s="121"/>
      <c r="J1421" s="121"/>
    </row>
    <row r="1422" spans="1:10" s="149" customFormat="1">
      <c r="B1422" s="464" t="s">
        <v>1009</v>
      </c>
      <c r="C1422" s="468">
        <v>10</v>
      </c>
      <c r="D1422" s="467" t="s">
        <v>32</v>
      </c>
      <c r="E1422" s="468">
        <f>E1389</f>
        <v>491</v>
      </c>
      <c r="F1422" s="469" t="s">
        <v>1256</v>
      </c>
      <c r="G1422" s="468">
        <f>C1422*E1422</f>
        <v>4910</v>
      </c>
      <c r="H1422" s="776"/>
      <c r="I1422" s="121"/>
      <c r="J1422" s="121"/>
    </row>
    <row r="1423" spans="1:10" s="149" customFormat="1">
      <c r="B1423" s="464" t="s">
        <v>178</v>
      </c>
      <c r="C1423" s="833">
        <v>0.71499999999999997</v>
      </c>
      <c r="D1423" s="467" t="s">
        <v>420</v>
      </c>
      <c r="E1423" s="468">
        <f>Lead!E29</f>
        <v>650</v>
      </c>
      <c r="F1423" s="469" t="s">
        <v>1257</v>
      </c>
      <c r="G1423" s="468">
        <f>C1423*E1423</f>
        <v>464.75</v>
      </c>
      <c r="H1423" s="776"/>
      <c r="I1423" s="121"/>
      <c r="J1423" s="121"/>
    </row>
    <row r="1424" spans="1:10" s="149" customFormat="1">
      <c r="B1424" s="464" t="s">
        <v>1273</v>
      </c>
      <c r="C1424" s="833">
        <v>0.66</v>
      </c>
      <c r="D1424" s="467" t="s">
        <v>420</v>
      </c>
      <c r="E1424" s="468">
        <f>E1423</f>
        <v>650</v>
      </c>
      <c r="F1424" s="469" t="s">
        <v>1257</v>
      </c>
      <c r="G1424" s="468">
        <f>C1424*E1424</f>
        <v>429</v>
      </c>
      <c r="H1424" s="776"/>
      <c r="I1424" s="121"/>
      <c r="J1424" s="121"/>
    </row>
    <row r="1425" spans="2:10" s="149" customFormat="1">
      <c r="B1425" s="464" t="s">
        <v>162</v>
      </c>
      <c r="C1425" s="468">
        <v>0.15</v>
      </c>
      <c r="D1425" s="467" t="s">
        <v>432</v>
      </c>
      <c r="E1425" s="468">
        <f>Lead!E20</f>
        <v>55</v>
      </c>
      <c r="F1425" s="469" t="s">
        <v>100</v>
      </c>
      <c r="G1425" s="468">
        <f>C1425*E1425</f>
        <v>8.25</v>
      </c>
      <c r="H1425" s="776"/>
      <c r="I1425" s="121"/>
      <c r="J1425" s="121"/>
    </row>
    <row r="1426" spans="2:10" s="149" customFormat="1">
      <c r="B1426" s="127" t="s">
        <v>505</v>
      </c>
      <c r="C1426" s="806"/>
      <c r="D1426" s="806"/>
      <c r="E1426" s="806"/>
      <c r="F1426" s="832"/>
      <c r="G1426" s="806"/>
      <c r="H1426" s="806"/>
      <c r="I1426" s="121"/>
      <c r="J1426" s="120">
        <f>G1422+G1423+G1424+G1425</f>
        <v>5812</v>
      </c>
    </row>
    <row r="1427" spans="2:10" s="149" customFormat="1">
      <c r="B1427" s="464" t="s">
        <v>155</v>
      </c>
      <c r="C1427" s="468">
        <v>3.25</v>
      </c>
      <c r="D1427" s="467" t="s">
        <v>506</v>
      </c>
      <c r="E1427" s="468">
        <f>Lead!E64</f>
        <v>260</v>
      </c>
      <c r="F1427" s="469" t="s">
        <v>656</v>
      </c>
      <c r="G1427" s="468">
        <f>C1427*E1427</f>
        <v>845</v>
      </c>
      <c r="H1427" s="806"/>
      <c r="I1427" s="121"/>
      <c r="J1427" s="121"/>
    </row>
    <row r="1428" spans="2:10" s="149" customFormat="1">
      <c r="B1428" s="464" t="s">
        <v>154</v>
      </c>
      <c r="C1428" s="468">
        <v>7.6</v>
      </c>
      <c r="D1428" s="467" t="s">
        <v>506</v>
      </c>
      <c r="E1428" s="468">
        <f>Lead!E54</f>
        <v>220</v>
      </c>
      <c r="F1428" s="469" t="s">
        <v>656</v>
      </c>
      <c r="G1428" s="468">
        <f>C1428*E1428</f>
        <v>1672</v>
      </c>
      <c r="H1428" s="806"/>
      <c r="I1428" s="121"/>
      <c r="J1428" s="121"/>
    </row>
    <row r="1429" spans="2:10" s="149" customFormat="1">
      <c r="B1429" s="464" t="s">
        <v>1260</v>
      </c>
      <c r="C1429" s="468">
        <v>3.25</v>
      </c>
      <c r="D1429" s="467" t="s">
        <v>506</v>
      </c>
      <c r="E1429" s="468">
        <f>Lead!E47</f>
        <v>200</v>
      </c>
      <c r="F1429" s="469" t="s">
        <v>656</v>
      </c>
      <c r="G1429" s="468">
        <f>C1429*E1429</f>
        <v>650</v>
      </c>
      <c r="H1429" s="832"/>
      <c r="I1429" s="121"/>
      <c r="J1429" s="120">
        <f>G1427+G1428+G1429</f>
        <v>3167</v>
      </c>
    </row>
    <row r="1430" spans="2:10" s="149" customFormat="1">
      <c r="B1430" s="465" t="s">
        <v>1261</v>
      </c>
      <c r="C1430" s="806"/>
      <c r="D1430" s="806"/>
      <c r="E1430" s="806"/>
      <c r="F1430" s="832"/>
      <c r="G1430" s="807">
        <f>SUM(G1422:G1429)*10%</f>
        <v>897.90000000000009</v>
      </c>
      <c r="H1430" s="806"/>
      <c r="I1430" s="121"/>
      <c r="J1430" s="121"/>
    </row>
    <row r="1431" spans="2:10" s="149" customFormat="1">
      <c r="B1431" s="127" t="s">
        <v>524</v>
      </c>
      <c r="C1431" s="806"/>
      <c r="D1431" s="806"/>
      <c r="E1431" s="806"/>
      <c r="F1431" s="832"/>
      <c r="G1431" s="806"/>
      <c r="H1431" s="776"/>
      <c r="I1431" s="121"/>
      <c r="J1431" s="121"/>
    </row>
    <row r="1432" spans="2:10" s="149" customFormat="1">
      <c r="B1432" s="464" t="s">
        <v>178</v>
      </c>
      <c r="C1432" s="833">
        <f>C1424+C1423</f>
        <v>1.375</v>
      </c>
      <c r="D1432" s="467" t="s">
        <v>420</v>
      </c>
      <c r="E1432" s="468">
        <f>Lead!J29</f>
        <v>16.899999999999999</v>
      </c>
      <c r="F1432" s="469" t="s">
        <v>1257</v>
      </c>
      <c r="G1432" s="468">
        <f>C1432*E1432</f>
        <v>23.237499999999997</v>
      </c>
      <c r="H1432" s="776"/>
      <c r="I1432" s="121"/>
      <c r="J1432" s="121"/>
    </row>
    <row r="1433" spans="2:10" s="149" customFormat="1">
      <c r="B1433" s="464" t="s">
        <v>162</v>
      </c>
      <c r="C1433" s="468">
        <v>0.15</v>
      </c>
      <c r="D1433" s="467" t="s">
        <v>432</v>
      </c>
      <c r="E1433" s="468">
        <f>Lead!J20</f>
        <v>196.4</v>
      </c>
      <c r="F1433" s="469" t="s">
        <v>100</v>
      </c>
      <c r="G1433" s="468">
        <f>C1433*E1433</f>
        <v>29.46</v>
      </c>
      <c r="H1433" s="776"/>
      <c r="I1433" s="121"/>
      <c r="J1433" s="121"/>
    </row>
    <row r="1434" spans="2:10" s="149" customFormat="1">
      <c r="B1434" s="464" t="s">
        <v>1254</v>
      </c>
      <c r="C1434" s="468">
        <v>10</v>
      </c>
      <c r="D1434" s="467" t="s">
        <v>32</v>
      </c>
      <c r="E1434" s="468">
        <f>E1402</f>
        <v>9.5299999999999994</v>
      </c>
      <c r="F1434" s="469" t="s">
        <v>1256</v>
      </c>
      <c r="G1434" s="807">
        <f>C1434*E1434</f>
        <v>95.3</v>
      </c>
      <c r="H1434" s="776"/>
      <c r="I1434" s="121"/>
      <c r="J1434" s="121"/>
    </row>
    <row r="1435" spans="2:10" s="149" customFormat="1">
      <c r="B1435" s="127"/>
      <c r="C1435" s="806"/>
      <c r="D1435" s="806"/>
      <c r="E1435" s="806"/>
      <c r="F1435" s="832"/>
      <c r="G1435" s="468">
        <f>SUM(G1422:G1434)</f>
        <v>10024.897499999997</v>
      </c>
      <c r="H1435" s="776" t="s">
        <v>1262</v>
      </c>
      <c r="I1435" s="121"/>
      <c r="J1435" s="121"/>
    </row>
    <row r="1436" spans="2:10" s="149" customFormat="1">
      <c r="B1436" s="466" t="s">
        <v>1263</v>
      </c>
      <c r="C1436" s="467"/>
      <c r="D1436" s="467"/>
      <c r="E1436" s="468"/>
      <c r="F1436" s="469"/>
      <c r="G1436" s="468">
        <f>G1435/10</f>
        <v>1002.4897499999997</v>
      </c>
      <c r="H1436" s="776" t="s">
        <v>1264</v>
      </c>
      <c r="I1436" s="121"/>
      <c r="J1436" s="121"/>
    </row>
    <row r="1437" spans="2:10" s="149" customFormat="1">
      <c r="B1437" s="388" t="s">
        <v>1265</v>
      </c>
      <c r="C1437" s="467"/>
      <c r="D1437" s="467"/>
      <c r="E1437" s="467"/>
      <c r="F1437" s="470"/>
      <c r="G1437" s="16">
        <f>G1436*1%</f>
        <v>10.024897499999998</v>
      </c>
      <c r="H1437" s="470"/>
      <c r="I1437" s="121"/>
      <c r="J1437" s="121"/>
    </row>
    <row r="1438" spans="2:10" s="149" customFormat="1">
      <c r="B1438" s="388"/>
      <c r="C1438" s="467"/>
      <c r="D1438" s="467"/>
      <c r="E1438" s="467"/>
      <c r="F1438" s="470"/>
      <c r="G1438" s="16">
        <f>SUM(G1436:G1437)</f>
        <v>1012.5146474999997</v>
      </c>
      <c r="H1438" s="834" t="str">
        <f>H1436</f>
        <v>/sqm.</v>
      </c>
      <c r="I1438" s="121"/>
      <c r="J1438" s="121"/>
    </row>
    <row r="1439" spans="2:10" s="149" customFormat="1">
      <c r="B1439" s="471" t="s">
        <v>1008</v>
      </c>
      <c r="C1439" s="356"/>
      <c r="D1439" s="356"/>
      <c r="E1439" s="356"/>
      <c r="F1439" s="831" t="s">
        <v>543</v>
      </c>
      <c r="G1439" s="831">
        <f>ROUND(G1438,1)</f>
        <v>1012.5</v>
      </c>
      <c r="H1439" s="834" t="str">
        <f>H1438</f>
        <v>/sqm.</v>
      </c>
      <c r="I1439" s="121"/>
      <c r="J1439" s="121"/>
    </row>
    <row r="1440" spans="2:10" s="149" customFormat="1">
      <c r="B1440" s="388"/>
      <c r="C1440" s="467"/>
      <c r="D1440" s="467"/>
      <c r="E1440" s="4"/>
      <c r="F1440" s="16"/>
      <c r="G1440" s="4"/>
      <c r="H1440" s="4"/>
      <c r="I1440" s="121"/>
      <c r="J1440" s="121"/>
    </row>
    <row r="1441" spans="1:10" s="149" customFormat="1" ht="38.25">
      <c r="B1441" s="393" t="s">
        <v>1266</v>
      </c>
      <c r="C1441" s="1235" t="s">
        <v>1267</v>
      </c>
      <c r="D1441" s="1235"/>
      <c r="E1441" s="835" t="s">
        <v>1268</v>
      </c>
      <c r="F1441" s="836" t="s">
        <v>1269</v>
      </c>
      <c r="G1441" s="831"/>
      <c r="H1441" s="467"/>
      <c r="I1441" s="121"/>
      <c r="J1441" s="121"/>
    </row>
    <row r="1442" spans="1:10" s="149" customFormat="1" ht="25.5">
      <c r="B1442" s="464" t="s">
        <v>1270</v>
      </c>
      <c r="C1442" s="1233">
        <f>SUM(G1427:G1429)/10</f>
        <v>316.7</v>
      </c>
      <c r="D1442" s="1233"/>
      <c r="E1442" s="468">
        <f>C1442*5%</f>
        <v>15.835000000000001</v>
      </c>
      <c r="F1442" s="468">
        <f>E1442*10%</f>
        <v>1.5835000000000001</v>
      </c>
      <c r="G1442" s="810">
        <f>E1442+F1442</f>
        <v>17.418500000000002</v>
      </c>
      <c r="H1442" s="467"/>
      <c r="I1442" s="121"/>
      <c r="J1442" s="121"/>
    </row>
    <row r="1443" spans="1:10" s="149" customFormat="1">
      <c r="B1443" s="464"/>
      <c r="C1443" s="837"/>
      <c r="D1443" s="837"/>
      <c r="E1443" s="467"/>
      <c r="F1443" s="832"/>
      <c r="G1443" s="468">
        <f>G1439+G1442</f>
        <v>1029.9185</v>
      </c>
      <c r="H1443" s="776"/>
      <c r="I1443" s="121"/>
      <c r="J1443" s="121"/>
    </row>
    <row r="1444" spans="1:10" s="149" customFormat="1" ht="13.5" thickBot="1">
      <c r="B1444" s="464"/>
      <c r="C1444" s="837"/>
      <c r="D1444" s="837"/>
      <c r="E1444" s="467"/>
      <c r="F1444" s="830" t="s">
        <v>542</v>
      </c>
      <c r="G1444" s="838">
        <f>ROUND(G1443,1)</f>
        <v>1029.9000000000001</v>
      </c>
      <c r="H1444" s="776" t="s">
        <v>544</v>
      </c>
      <c r="I1444" s="121"/>
      <c r="J1444" s="121"/>
    </row>
    <row r="1445" spans="1:10" s="149" customFormat="1" ht="13.5" thickTop="1">
      <c r="B1445" s="393" t="s">
        <v>1271</v>
      </c>
      <c r="C1445" s="813"/>
      <c r="D1445" s="835"/>
      <c r="E1445" s="835"/>
      <c r="F1445" s="468"/>
      <c r="G1445" s="831"/>
      <c r="H1445" s="467"/>
      <c r="I1445" s="121"/>
      <c r="J1445" s="121"/>
    </row>
    <row r="1446" spans="1:10" s="149" customFormat="1" ht="25.5">
      <c r="B1446" s="464" t="s">
        <v>1270</v>
      </c>
      <c r="C1446" s="1232">
        <f>C1442+E1442</f>
        <v>332.53499999999997</v>
      </c>
      <c r="D1446" s="1232"/>
      <c r="E1446" s="468">
        <f>C1446*5%</f>
        <v>16.626749999999998</v>
      </c>
      <c r="F1446" s="468">
        <f>E1446*10%</f>
        <v>1.6626749999999999</v>
      </c>
      <c r="G1446" s="810">
        <f>E1446+F1446</f>
        <v>18.289424999999998</v>
      </c>
      <c r="H1446" s="467"/>
      <c r="I1446" s="121"/>
      <c r="J1446" s="121"/>
    </row>
    <row r="1447" spans="1:10" s="149" customFormat="1">
      <c r="B1447" s="388"/>
      <c r="C1447" s="1233"/>
      <c r="D1447" s="1233"/>
      <c r="E1447" s="467"/>
      <c r="F1447" s="832"/>
      <c r="G1447" s="468">
        <f>G1443+G1446</f>
        <v>1048.2079249999999</v>
      </c>
      <c r="H1447" s="776"/>
      <c r="I1447" s="121"/>
      <c r="J1447" s="121"/>
    </row>
    <row r="1448" spans="1:10" s="149" customFormat="1" ht="13.5" thickBot="1">
      <c r="B1448" s="388"/>
      <c r="C1448" s="1233"/>
      <c r="D1448" s="1233"/>
      <c r="E1448" s="467"/>
      <c r="F1448" s="830" t="s">
        <v>542</v>
      </c>
      <c r="G1448" s="838">
        <f>ROUND(G1447,1)</f>
        <v>1048.2</v>
      </c>
      <c r="H1448" s="776" t="s">
        <v>544</v>
      </c>
      <c r="I1448" s="121"/>
      <c r="J1448" s="121"/>
    </row>
    <row r="1449" spans="1:10" s="149" customFormat="1" ht="38.25" customHeight="1" thickTop="1">
      <c r="A1449" s="145">
        <v>40</v>
      </c>
      <c r="B1449" s="1236" t="s">
        <v>435</v>
      </c>
      <c r="C1449" s="1236"/>
      <c r="D1449" s="1236"/>
      <c r="E1449" s="1236"/>
      <c r="F1449" s="1236"/>
      <c r="G1449" s="121"/>
      <c r="H1449" s="121"/>
      <c r="I1449" s="121"/>
      <c r="J1449" s="121"/>
    </row>
    <row r="1450" spans="1:10" s="149" customFormat="1" ht="38.25">
      <c r="A1450" s="146"/>
      <c r="B1450" s="146" t="s">
        <v>436</v>
      </c>
      <c r="C1450" s="839"/>
      <c r="D1450" s="840"/>
      <c r="E1450" s="841"/>
      <c r="F1450" s="841"/>
      <c r="G1450" s="121"/>
      <c r="H1450" s="121"/>
      <c r="I1450" s="121"/>
      <c r="J1450" s="121"/>
    </row>
    <row r="1451" spans="1:10">
      <c r="A1451" s="146"/>
      <c r="B1451" s="146" t="s">
        <v>437</v>
      </c>
      <c r="C1451" s="839">
        <v>0.05</v>
      </c>
      <c r="D1451" s="840" t="s">
        <v>25</v>
      </c>
      <c r="E1451" s="841">
        <f>Lead!E22</f>
        <v>48</v>
      </c>
      <c r="F1451" s="841">
        <f>E1451*C1451</f>
        <v>2.4000000000000004</v>
      </c>
      <c r="G1451" s="121"/>
    </row>
    <row r="1452" spans="1:10">
      <c r="A1452" s="146"/>
      <c r="B1452" s="146" t="s">
        <v>438</v>
      </c>
      <c r="C1452" s="839">
        <v>1</v>
      </c>
      <c r="D1452" s="840" t="s">
        <v>32</v>
      </c>
      <c r="E1452" s="841">
        <v>500</v>
      </c>
      <c r="F1452" s="841">
        <f>E1452*C1452</f>
        <v>500</v>
      </c>
      <c r="G1452" s="121"/>
    </row>
    <row r="1453" spans="1:10">
      <c r="A1453" s="146"/>
      <c r="B1453" s="146" t="s">
        <v>155</v>
      </c>
      <c r="C1453" s="839">
        <v>0.17</v>
      </c>
      <c r="D1453" s="840" t="s">
        <v>308</v>
      </c>
      <c r="E1453" s="841">
        <f>Lead!E64</f>
        <v>260</v>
      </c>
      <c r="F1453" s="841">
        <f>E1453*C1453</f>
        <v>44.2</v>
      </c>
      <c r="G1453" s="121"/>
    </row>
    <row r="1454" spans="1:10">
      <c r="A1454" s="146"/>
      <c r="B1454" s="146" t="s">
        <v>439</v>
      </c>
      <c r="C1454" s="839">
        <v>0.35</v>
      </c>
      <c r="D1454" s="840" t="s">
        <v>308</v>
      </c>
      <c r="E1454" s="841">
        <f>Lead!J54</f>
        <v>220</v>
      </c>
      <c r="F1454" s="841">
        <f>E1454*C1454</f>
        <v>77</v>
      </c>
      <c r="G1454" s="121"/>
    </row>
    <row r="1455" spans="1:10">
      <c r="A1455" s="146"/>
      <c r="B1455" s="146" t="s">
        <v>51</v>
      </c>
      <c r="C1455" s="839">
        <v>1.04</v>
      </c>
      <c r="D1455" s="840" t="s">
        <v>308</v>
      </c>
      <c r="E1455" s="841">
        <f>Lead!E47</f>
        <v>200</v>
      </c>
      <c r="F1455" s="841">
        <f>E1455*C1455</f>
        <v>208</v>
      </c>
      <c r="G1455" s="121"/>
    </row>
    <row r="1456" spans="1:10">
      <c r="A1456" s="146"/>
      <c r="B1456" s="146"/>
      <c r="C1456" s="839"/>
      <c r="D1456" s="840"/>
      <c r="E1456" s="841" t="s">
        <v>117</v>
      </c>
      <c r="F1456" s="841">
        <f>SUM(F1451:F1455)</f>
        <v>831.6</v>
      </c>
      <c r="G1456" s="121"/>
    </row>
    <row r="1457" spans="1:8">
      <c r="A1457" s="146"/>
      <c r="B1457" s="146" t="s">
        <v>440</v>
      </c>
      <c r="C1457" s="839"/>
      <c r="D1457" s="840"/>
      <c r="E1457" s="841"/>
      <c r="F1457" s="841">
        <f>F1456*15%</f>
        <v>124.74</v>
      </c>
      <c r="G1457" s="121"/>
    </row>
    <row r="1458" spans="1:8">
      <c r="A1458" s="146"/>
      <c r="B1458" s="146"/>
      <c r="C1458" s="839"/>
      <c r="D1458" s="840"/>
      <c r="E1458" s="841" t="s">
        <v>117</v>
      </c>
      <c r="F1458" s="841">
        <f>SUM(F1456:F1457)</f>
        <v>956.34</v>
      </c>
      <c r="G1458" s="121"/>
    </row>
    <row r="1459" spans="1:8">
      <c r="A1459" s="146"/>
      <c r="B1459" s="146" t="s">
        <v>441</v>
      </c>
      <c r="C1459" s="839"/>
      <c r="D1459" s="840"/>
      <c r="E1459" s="841"/>
      <c r="F1459" s="841"/>
      <c r="G1459" s="121"/>
    </row>
    <row r="1460" spans="1:8">
      <c r="A1460" s="146"/>
      <c r="B1460" s="146" t="s">
        <v>104</v>
      </c>
      <c r="C1460" s="839">
        <v>0.08</v>
      </c>
      <c r="D1460" s="840"/>
      <c r="E1460" s="841">
        <f>Lead!J22</f>
        <v>196.4</v>
      </c>
      <c r="F1460" s="841">
        <f>E1460*C1460</f>
        <v>15.712000000000002</v>
      </c>
      <c r="G1460" s="121"/>
    </row>
    <row r="1461" spans="1:8">
      <c r="A1461" s="146"/>
      <c r="B1461" s="146" t="s">
        <v>442</v>
      </c>
      <c r="C1461" s="839">
        <v>1</v>
      </c>
      <c r="D1461" s="840"/>
      <c r="E1461" s="841">
        <v>8.2799999999999994</v>
      </c>
      <c r="F1461" s="841">
        <f>E1461*C1461</f>
        <v>8.2799999999999994</v>
      </c>
      <c r="G1461" s="121"/>
    </row>
    <row r="1462" spans="1:8">
      <c r="A1462" s="146"/>
      <c r="B1462" s="146"/>
      <c r="C1462" s="839"/>
      <c r="D1462" s="840"/>
      <c r="E1462" s="841" t="s">
        <v>117</v>
      </c>
      <c r="F1462" s="841">
        <f>SUM(F1458:F1461)</f>
        <v>980.33199999999999</v>
      </c>
      <c r="G1462" s="121"/>
    </row>
    <row r="1463" spans="1:8">
      <c r="A1463" s="146"/>
      <c r="B1463" s="146" t="s">
        <v>443</v>
      </c>
      <c r="C1463" s="839"/>
      <c r="D1463" s="840"/>
      <c r="E1463" s="841"/>
      <c r="F1463" s="841">
        <f>F1462*1%</f>
        <v>9.8033199999999994</v>
      </c>
      <c r="G1463" s="121"/>
    </row>
    <row r="1464" spans="1:8">
      <c r="A1464" s="146"/>
      <c r="B1464" s="146"/>
      <c r="C1464" s="839"/>
      <c r="D1464" s="840"/>
      <c r="E1464" s="841"/>
      <c r="F1464" s="841">
        <f>SUM(F1462:F1463)</f>
        <v>990.13531999999998</v>
      </c>
      <c r="G1464" s="121"/>
    </row>
    <row r="1465" spans="1:8">
      <c r="A1465" s="146"/>
      <c r="B1465" s="146"/>
      <c r="C1465" s="839"/>
      <c r="D1465" s="840"/>
      <c r="E1465" s="842" t="s">
        <v>120</v>
      </c>
      <c r="F1465" s="842">
        <f>ROUND(F1464,1)</f>
        <v>990.1</v>
      </c>
      <c r="G1465" s="121"/>
    </row>
    <row r="1469" spans="1:8" ht="33.75" customHeight="1">
      <c r="A1469">
        <v>41</v>
      </c>
      <c r="B1469" s="1234" t="s">
        <v>1311</v>
      </c>
      <c r="C1469" s="1234"/>
      <c r="D1469" s="1234"/>
      <c r="E1469" s="468"/>
      <c r="F1469" s="830"/>
      <c r="G1469" s="831"/>
      <c r="H1469" s="776"/>
    </row>
    <row r="1470" spans="1:8">
      <c r="B1470" s="463" t="s">
        <v>1255</v>
      </c>
      <c r="C1470" s="806"/>
      <c r="D1470" s="806"/>
      <c r="E1470" s="806"/>
      <c r="F1470" s="830"/>
      <c r="G1470" s="831"/>
      <c r="H1470" s="776"/>
    </row>
    <row r="1471" spans="1:8">
      <c r="B1471" s="127" t="s">
        <v>502</v>
      </c>
      <c r="C1471" s="806"/>
      <c r="D1471" s="806"/>
      <c r="E1471" s="806"/>
      <c r="F1471" s="830"/>
      <c r="G1471" s="831"/>
      <c r="H1471" s="776"/>
    </row>
    <row r="1472" spans="1:8">
      <c r="B1472" s="464" t="s">
        <v>103</v>
      </c>
      <c r="C1472" s="843">
        <v>3.6799999999999999E-2</v>
      </c>
      <c r="D1472" s="467" t="s">
        <v>432</v>
      </c>
      <c r="E1472" s="468">
        <f>Lead!E11</f>
        <v>1168</v>
      </c>
      <c r="F1472" s="844" t="s">
        <v>100</v>
      </c>
      <c r="G1472" s="468">
        <f>C1472*E1472</f>
        <v>42.982399999999998</v>
      </c>
      <c r="H1472" s="776"/>
    </row>
    <row r="1473" spans="2:8">
      <c r="B1473" s="464" t="s">
        <v>162</v>
      </c>
      <c r="C1473" s="843">
        <v>1.9199999999999998E-2</v>
      </c>
      <c r="D1473" s="467" t="s">
        <v>432</v>
      </c>
      <c r="E1473" s="468">
        <f>Lead!E20</f>
        <v>55</v>
      </c>
      <c r="F1473" s="469" t="s">
        <v>100</v>
      </c>
      <c r="G1473" s="468">
        <f>C1473*E1473</f>
        <v>1.0559999999999998</v>
      </c>
      <c r="H1473" s="776"/>
    </row>
    <row r="1474" spans="2:8">
      <c r="B1474" s="464" t="s">
        <v>178</v>
      </c>
      <c r="C1474" s="843">
        <v>0.13700000000000001</v>
      </c>
      <c r="D1474" s="467" t="s">
        <v>420</v>
      </c>
      <c r="E1474" s="468">
        <f>Lead!E29</f>
        <v>650</v>
      </c>
      <c r="F1474" s="469" t="s">
        <v>1257</v>
      </c>
      <c r="G1474" s="468">
        <f>C1474*E1474</f>
        <v>89.050000000000011</v>
      </c>
      <c r="H1474" s="776"/>
    </row>
    <row r="1475" spans="2:8">
      <c r="B1475" s="127" t="s">
        <v>1305</v>
      </c>
      <c r="C1475" s="845"/>
      <c r="D1475" s="806"/>
      <c r="E1475" s="806"/>
      <c r="F1475" s="832"/>
      <c r="G1475" s="806"/>
      <c r="H1475" s="832"/>
    </row>
    <row r="1476" spans="2:8">
      <c r="B1476" s="464" t="s">
        <v>155</v>
      </c>
      <c r="C1476" s="843">
        <v>0.13</v>
      </c>
      <c r="D1476" s="467" t="s">
        <v>506</v>
      </c>
      <c r="E1476" s="468">
        <f>Lead!E64</f>
        <v>260</v>
      </c>
      <c r="F1476" s="469" t="s">
        <v>656</v>
      </c>
      <c r="G1476" s="468">
        <f>C1476*E1476</f>
        <v>33.800000000000004</v>
      </c>
      <c r="H1476" s="832"/>
    </row>
    <row r="1477" spans="2:8">
      <c r="B1477" s="464" t="s">
        <v>313</v>
      </c>
      <c r="C1477" s="843">
        <v>0.57599999999999996</v>
      </c>
      <c r="D1477" s="467" t="s">
        <v>506</v>
      </c>
      <c r="E1477" s="468">
        <f>Lead!E47</f>
        <v>200</v>
      </c>
      <c r="F1477" s="469" t="s">
        <v>656</v>
      </c>
      <c r="G1477" s="468">
        <f>C1477*E1477</f>
        <v>115.19999999999999</v>
      </c>
      <c r="H1477" s="806"/>
    </row>
    <row r="1478" spans="2:8">
      <c r="B1478" s="465" t="s">
        <v>1367</v>
      </c>
      <c r="C1478" s="845"/>
      <c r="D1478" s="806"/>
      <c r="E1478" s="806"/>
      <c r="F1478" s="832"/>
      <c r="G1478" s="807">
        <f>SUM(G1472:G1477)*15%</f>
        <v>42.313259999999993</v>
      </c>
      <c r="H1478" s="806"/>
    </row>
    <row r="1479" spans="2:8">
      <c r="B1479" s="127" t="s">
        <v>1306</v>
      </c>
      <c r="C1479" s="845"/>
      <c r="D1479" s="806"/>
      <c r="E1479" s="806"/>
      <c r="F1479" s="832"/>
      <c r="G1479" s="846"/>
      <c r="H1479" s="776"/>
    </row>
    <row r="1480" spans="2:8">
      <c r="B1480" s="464" t="s">
        <v>1307</v>
      </c>
      <c r="C1480" s="843">
        <v>3.6799999999999999E-2</v>
      </c>
      <c r="D1480" s="467" t="s">
        <v>432</v>
      </c>
      <c r="E1480" s="468">
        <f>Lead!J11</f>
        <v>850.4</v>
      </c>
      <c r="F1480" s="844" t="s">
        <v>100</v>
      </c>
      <c r="G1480" s="468">
        <f>C1480*E1480</f>
        <v>31.294719999999998</v>
      </c>
      <c r="H1480" s="776"/>
    </row>
    <row r="1481" spans="2:8">
      <c r="B1481" s="464" t="s">
        <v>162</v>
      </c>
      <c r="C1481" s="843">
        <v>1.9199999999999998E-2</v>
      </c>
      <c r="D1481" s="467" t="s">
        <v>432</v>
      </c>
      <c r="E1481" s="468">
        <f>Lead!J20</f>
        <v>196.4</v>
      </c>
      <c r="F1481" s="469" t="s">
        <v>100</v>
      </c>
      <c r="G1481" s="468">
        <f>C1481*E1481</f>
        <v>3.7708799999999996</v>
      </c>
      <c r="H1481" s="776"/>
    </row>
    <row r="1482" spans="2:8">
      <c r="B1482" s="464" t="s">
        <v>178</v>
      </c>
      <c r="C1482" s="833">
        <v>0.13700000000000001</v>
      </c>
      <c r="D1482" s="467" t="s">
        <v>420</v>
      </c>
      <c r="E1482" s="468">
        <f>Lead!J29</f>
        <v>16.899999999999999</v>
      </c>
      <c r="F1482" s="469" t="s">
        <v>1257</v>
      </c>
      <c r="G1482" s="468">
        <f>C1482*E1482</f>
        <v>2.3153000000000001</v>
      </c>
      <c r="H1482" s="776"/>
    </row>
    <row r="1483" spans="2:8">
      <c r="B1483" s="127"/>
      <c r="C1483" s="806"/>
      <c r="D1483" s="806"/>
      <c r="E1483" s="806"/>
      <c r="F1483" s="832"/>
      <c r="G1483" s="468">
        <f>SUM(G1472:G1482)</f>
        <v>361.78255999999993</v>
      </c>
      <c r="H1483" s="776" t="s">
        <v>1264</v>
      </c>
    </row>
    <row r="1484" spans="2:8">
      <c r="B1484" s="388" t="s">
        <v>1265</v>
      </c>
      <c r="C1484" s="467"/>
      <c r="D1484" s="467"/>
      <c r="E1484" s="467"/>
      <c r="F1484" s="470"/>
      <c r="G1484" s="16">
        <f>G1483*1%</f>
        <v>3.6178255999999993</v>
      </c>
      <c r="H1484" s="470"/>
    </row>
    <row r="1485" spans="2:8">
      <c r="B1485" s="388"/>
      <c r="C1485" s="467"/>
      <c r="D1485" s="467"/>
      <c r="E1485" s="467"/>
      <c r="F1485" s="470"/>
      <c r="G1485" s="16">
        <f>SUM(G1483:G1484)</f>
        <v>365.40038559999994</v>
      </c>
      <c r="H1485" s="834" t="str">
        <f>H1483</f>
        <v>/sqm.</v>
      </c>
    </row>
    <row r="1486" spans="2:8">
      <c r="B1486" s="471" t="s">
        <v>1008</v>
      </c>
      <c r="C1486" s="356"/>
      <c r="D1486" s="356"/>
      <c r="E1486" s="356"/>
      <c r="F1486" s="831" t="s">
        <v>543</v>
      </c>
      <c r="G1486" s="831">
        <f>ROUND(G1485,1)</f>
        <v>365.4</v>
      </c>
      <c r="H1486" s="834" t="str">
        <f>H1483</f>
        <v>/sqm.</v>
      </c>
    </row>
    <row r="1487" spans="2:8">
      <c r="B1487" s="474" t="s">
        <v>1308</v>
      </c>
      <c r="C1487" s="467"/>
      <c r="D1487" s="467"/>
      <c r="E1487" s="467"/>
      <c r="F1487" s="468"/>
      <c r="G1487" s="467"/>
      <c r="H1487" s="776"/>
    </row>
    <row r="1488" spans="2:8" ht="38.25">
      <c r="B1488" s="393" t="s">
        <v>1309</v>
      </c>
      <c r="C1488" s="1235" t="s">
        <v>1267</v>
      </c>
      <c r="D1488" s="1235"/>
      <c r="E1488" s="835" t="s">
        <v>1268</v>
      </c>
      <c r="F1488" s="836" t="s">
        <v>1269</v>
      </c>
      <c r="G1488" s="831"/>
      <c r="H1488" s="467"/>
    </row>
    <row r="1489" spans="2:8" ht="25.5">
      <c r="B1489" s="475" t="s">
        <v>1270</v>
      </c>
      <c r="C1489" s="1232">
        <f>SUM(G1476:G1477)</f>
        <v>149</v>
      </c>
      <c r="D1489" s="1232"/>
      <c r="E1489" s="468">
        <f>C1489*5%</f>
        <v>7.45</v>
      </c>
      <c r="F1489" s="468">
        <f>E1489*10%</f>
        <v>0.74500000000000011</v>
      </c>
      <c r="G1489" s="810">
        <f>E1489+F1489</f>
        <v>8.1950000000000003</v>
      </c>
      <c r="H1489" s="467"/>
    </row>
    <row r="1490" spans="2:8">
      <c r="B1490" s="464"/>
      <c r="C1490" s="1232"/>
      <c r="D1490" s="1232"/>
      <c r="E1490" s="467"/>
      <c r="F1490" s="832"/>
      <c r="G1490" s="468">
        <f>G1486+G1489</f>
        <v>373.59499999999997</v>
      </c>
      <c r="H1490" s="776"/>
    </row>
    <row r="1491" spans="2:8" ht="13.5" thickBot="1">
      <c r="B1491" s="464"/>
      <c r="C1491" s="1232"/>
      <c r="D1491" s="1232"/>
      <c r="E1491" s="467"/>
      <c r="F1491" s="830" t="s">
        <v>542</v>
      </c>
      <c r="G1491" s="838">
        <f>ROUND(G1490,1)</f>
        <v>373.6</v>
      </c>
      <c r="H1491" s="776" t="s">
        <v>544</v>
      </c>
    </row>
    <row r="1492" spans="2:8" ht="13.5" thickTop="1">
      <c r="B1492" s="393" t="s">
        <v>1271</v>
      </c>
      <c r="C1492" s="1232"/>
      <c r="D1492" s="1232"/>
      <c r="E1492" s="835"/>
      <c r="F1492" s="468"/>
      <c r="G1492" s="831"/>
      <c r="H1492" s="776"/>
    </row>
    <row r="1493" spans="2:8" ht="25.5">
      <c r="B1493" s="475" t="s">
        <v>1270</v>
      </c>
      <c r="C1493" s="1232">
        <f>C1489+E1489</f>
        <v>156.44999999999999</v>
      </c>
      <c r="D1493" s="1232"/>
      <c r="E1493" s="468">
        <f>C1493*5%</f>
        <v>7.8224999999999998</v>
      </c>
      <c r="F1493" s="468">
        <f>E1493*10%</f>
        <v>0.78225</v>
      </c>
      <c r="G1493" s="810">
        <f>E1493+F1493</f>
        <v>8.6047499999999992</v>
      </c>
      <c r="H1493" s="776"/>
    </row>
    <row r="1494" spans="2:8">
      <c r="B1494" s="127"/>
      <c r="C1494" s="1232"/>
      <c r="D1494" s="1232"/>
      <c r="E1494" s="806"/>
      <c r="F1494" s="832"/>
      <c r="G1494" s="468">
        <f>G1490+G1493</f>
        <v>382.19974999999999</v>
      </c>
      <c r="H1494" s="776"/>
    </row>
    <row r="1495" spans="2:8" ht="13.5" thickBot="1">
      <c r="B1495" s="127"/>
      <c r="C1495" s="1232"/>
      <c r="D1495" s="1232"/>
      <c r="E1495" s="806"/>
      <c r="F1495" s="830" t="s">
        <v>542</v>
      </c>
      <c r="G1495" s="838">
        <f>ROUND(G1494,1)+0.05</f>
        <v>382.25</v>
      </c>
      <c r="H1495" s="776" t="s">
        <v>544</v>
      </c>
    </row>
    <row r="1496" spans="2:8" ht="13.5" thickTop="1">
      <c r="B1496" s="393" t="s">
        <v>1310</v>
      </c>
      <c r="C1496" s="1232"/>
      <c r="D1496" s="1232"/>
      <c r="E1496" s="835"/>
      <c r="F1496" s="468"/>
      <c r="G1496" s="831"/>
      <c r="H1496" s="776"/>
    </row>
    <row r="1497" spans="2:8" ht="25.5">
      <c r="B1497" s="475" t="s">
        <v>1270</v>
      </c>
      <c r="C1497" s="1232">
        <f>C1493+E1493</f>
        <v>164.27249999999998</v>
      </c>
      <c r="D1497" s="1232"/>
      <c r="E1497" s="468">
        <f>C1497*5%</f>
        <v>8.2136249999999986</v>
      </c>
      <c r="F1497" s="468">
        <f>E1497*10%</f>
        <v>0.82136249999999988</v>
      </c>
      <c r="G1497" s="810">
        <f>E1497+F1497</f>
        <v>9.034987499999998</v>
      </c>
      <c r="H1497" s="776"/>
    </row>
    <row r="1498" spans="2:8">
      <c r="B1498" s="127"/>
      <c r="C1498" s="1232"/>
      <c r="D1498" s="1232"/>
      <c r="E1498" s="806"/>
      <c r="F1498" s="832"/>
      <c r="G1498" s="468">
        <f>G1494+G1497</f>
        <v>391.23473749999999</v>
      </c>
      <c r="H1498" s="776"/>
    </row>
    <row r="1499" spans="2:8" ht="13.5" thickBot="1">
      <c r="B1499" s="127"/>
      <c r="C1499" s="1232"/>
      <c r="D1499" s="1232"/>
      <c r="E1499" s="806"/>
      <c r="F1499" s="830" t="s">
        <v>542</v>
      </c>
      <c r="G1499" s="838">
        <f>ROUND(G1498,1)</f>
        <v>391.2</v>
      </c>
      <c r="H1499" s="776" t="s">
        <v>544</v>
      </c>
    </row>
    <row r="1500" spans="2:8" ht="13.5" thickTop="1"/>
  </sheetData>
  <mergeCells count="30">
    <mergeCell ref="C1441:D1441"/>
    <mergeCell ref="C1410:D1410"/>
    <mergeCell ref="C1411:D1411"/>
    <mergeCell ref="C1415:D1415"/>
    <mergeCell ref="C1416:D1416"/>
    <mergeCell ref="C1417:D1417"/>
    <mergeCell ref="A1:F1"/>
    <mergeCell ref="A2:F2"/>
    <mergeCell ref="C855:E855"/>
    <mergeCell ref="B1023:F1023"/>
    <mergeCell ref="C781:D781"/>
    <mergeCell ref="B149:F149"/>
    <mergeCell ref="C1442:D1442"/>
    <mergeCell ref="C1446:D1446"/>
    <mergeCell ref="C1448:D1448"/>
    <mergeCell ref="C1447:D1447"/>
    <mergeCell ref="C1490:D1490"/>
    <mergeCell ref="B1469:D1469"/>
    <mergeCell ref="C1488:D1488"/>
    <mergeCell ref="C1489:D1489"/>
    <mergeCell ref="B1449:F1449"/>
    <mergeCell ref="C1491:D1491"/>
    <mergeCell ref="C1499:D1499"/>
    <mergeCell ref="C1493:D1493"/>
    <mergeCell ref="C1494:D1494"/>
    <mergeCell ref="C1495:D1495"/>
    <mergeCell ref="C1496:D1496"/>
    <mergeCell ref="C1497:D1497"/>
    <mergeCell ref="C1498:D1498"/>
    <mergeCell ref="C1492:D1492"/>
  </mergeCells>
  <phoneticPr fontId="0" type="noConversion"/>
  <printOptions horizontalCentered="1" gridLines="1"/>
  <pageMargins left="0.17716535433070901" right="0.17716535433070901" top="0.927165354" bottom="0.427165354" header="0.196850393700787" footer="0.196850393700787"/>
  <pageSetup paperSize="9" scale="85" firstPageNumber="119" orientation="portrait" useFirstPageNumber="1" verticalDpi="300" r:id="rId1"/>
  <headerFooter alignWithMargins="0">
    <oddHeader>&amp;C&amp;"Arial,Bold"&amp;12PROJECT:-&amp;"Arial,Regular"
PROPOSED CONSTRUCTION OF EMRS (Ekalavya Model Residential School)
 AT BIKRAMPUR, DIST:-RAYAGADA, ODISHA.</oddHeader>
    <oddFooter>&amp;L&amp;"Arial,Bold"&amp;11HSCL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41"/>
  <sheetViews>
    <sheetView topLeftCell="A13" workbookViewId="0">
      <selection activeCell="L33" sqref="L33"/>
    </sheetView>
  </sheetViews>
  <sheetFormatPr defaultRowHeight="12.75"/>
  <cols>
    <col min="1" max="1" width="5" customWidth="1"/>
    <col min="2" max="2" width="23.140625" customWidth="1"/>
    <col min="3" max="3" width="6.5703125" customWidth="1"/>
    <col min="4" max="4" width="6.140625" customWidth="1"/>
    <col min="7" max="7" width="5.42578125" customWidth="1"/>
    <col min="9" max="9" width="2.85546875" customWidth="1"/>
    <col min="10" max="10" width="4.28515625" customWidth="1"/>
    <col min="11" max="11" width="3.7109375" customWidth="1"/>
  </cols>
  <sheetData>
    <row r="5" spans="1:13">
      <c r="A5" s="40" t="s">
        <v>172</v>
      </c>
      <c r="B5" s="41" t="s">
        <v>19</v>
      </c>
      <c r="C5" s="46" t="s">
        <v>173</v>
      </c>
      <c r="D5" s="46" t="s">
        <v>21</v>
      </c>
      <c r="E5" s="46" t="s">
        <v>20</v>
      </c>
      <c r="F5" s="37" t="s">
        <v>21</v>
      </c>
      <c r="G5" s="37"/>
      <c r="H5" s="47" t="s">
        <v>22</v>
      </c>
    </row>
    <row r="6" spans="1:13" ht="132" customHeight="1">
      <c r="A6" s="65">
        <v>17</v>
      </c>
      <c r="B6" s="66" t="s">
        <v>375</v>
      </c>
      <c r="C6" s="67"/>
      <c r="D6" s="67"/>
      <c r="E6" s="67"/>
      <c r="F6" s="68"/>
      <c r="G6" s="68"/>
      <c r="H6" s="68"/>
      <c r="I6" s="69"/>
      <c r="J6" s="65"/>
      <c r="K6" s="70"/>
      <c r="L6" s="71"/>
      <c r="M6" s="72"/>
    </row>
    <row r="7" spans="1:13" ht="26.25" customHeight="1">
      <c r="A7" s="73"/>
      <c r="B7" s="74" t="s">
        <v>401</v>
      </c>
      <c r="C7" s="75"/>
      <c r="D7" s="73"/>
      <c r="E7" s="76"/>
      <c r="F7" s="76"/>
      <c r="G7" s="76"/>
      <c r="H7" s="76"/>
      <c r="I7" s="69"/>
      <c r="J7" s="65"/>
      <c r="K7" s="70"/>
      <c r="L7" s="71"/>
      <c r="M7" s="72"/>
    </row>
    <row r="8" spans="1:13" ht="16.5" customHeight="1">
      <c r="A8" s="73"/>
      <c r="B8" s="93" t="s">
        <v>70</v>
      </c>
      <c r="C8" s="75"/>
      <c r="D8" s="73"/>
      <c r="E8" s="76"/>
      <c r="F8" s="76"/>
      <c r="G8" s="76"/>
      <c r="H8" s="76"/>
      <c r="I8" s="69"/>
      <c r="J8" s="65"/>
      <c r="K8" s="70"/>
      <c r="L8" s="71"/>
      <c r="M8" s="72"/>
    </row>
    <row r="9" spans="1:13" ht="24" customHeight="1">
      <c r="A9" s="73"/>
      <c r="B9" s="95" t="s">
        <v>28</v>
      </c>
      <c r="C9" s="75"/>
      <c r="D9" s="73"/>
      <c r="E9" s="76"/>
      <c r="F9" s="76"/>
      <c r="G9" s="76"/>
      <c r="H9" s="76"/>
      <c r="I9" s="69"/>
      <c r="J9" s="65"/>
      <c r="K9" s="70"/>
      <c r="L9" s="71"/>
      <c r="M9" s="72"/>
    </row>
    <row r="10" spans="1:13" ht="13.5">
      <c r="A10" s="73"/>
      <c r="B10" s="77" t="s">
        <v>376</v>
      </c>
      <c r="C10" s="76">
        <v>6.09</v>
      </c>
      <c r="D10" s="76" t="s">
        <v>377</v>
      </c>
      <c r="E10" s="78">
        <v>0.59399999999999997</v>
      </c>
      <c r="F10" s="75" t="s">
        <v>378</v>
      </c>
      <c r="G10" s="75"/>
      <c r="H10" s="79">
        <v>3.62</v>
      </c>
      <c r="I10" s="80" t="s">
        <v>379</v>
      </c>
      <c r="J10" s="65"/>
      <c r="K10" s="70"/>
      <c r="L10" s="71"/>
      <c r="M10" s="72"/>
    </row>
    <row r="11" spans="1:13" ht="13.5">
      <c r="A11" s="73"/>
      <c r="B11" s="77" t="s">
        <v>380</v>
      </c>
      <c r="C11" s="76">
        <v>2.44</v>
      </c>
      <c r="D11" s="76" t="s">
        <v>377</v>
      </c>
      <c r="E11" s="78">
        <v>0.89</v>
      </c>
      <c r="F11" s="75" t="s">
        <v>378</v>
      </c>
      <c r="G11" s="75"/>
      <c r="H11" s="79">
        <v>2.17</v>
      </c>
      <c r="I11" s="80" t="s">
        <v>379</v>
      </c>
      <c r="J11" s="65"/>
      <c r="K11" s="70"/>
      <c r="L11" s="71"/>
      <c r="M11" s="72"/>
    </row>
    <row r="12" spans="1:13" ht="13.5">
      <c r="A12" s="73"/>
      <c r="B12" s="77" t="s">
        <v>381</v>
      </c>
      <c r="C12" s="76">
        <v>7.31</v>
      </c>
      <c r="D12" s="76" t="s">
        <v>377</v>
      </c>
      <c r="E12" s="78">
        <v>0.52</v>
      </c>
      <c r="F12" s="75" t="s">
        <v>378</v>
      </c>
      <c r="G12" s="75"/>
      <c r="H12" s="79">
        <v>3.8</v>
      </c>
      <c r="I12" s="80" t="s">
        <v>379</v>
      </c>
      <c r="J12" s="65"/>
      <c r="K12" s="70"/>
      <c r="L12" s="71"/>
      <c r="M12" s="72"/>
    </row>
    <row r="13" spans="1:13" ht="13.5">
      <c r="A13" s="73"/>
      <c r="B13" s="77" t="s">
        <v>382</v>
      </c>
      <c r="C13" s="76">
        <v>10.97</v>
      </c>
      <c r="D13" s="76" t="s">
        <v>377</v>
      </c>
      <c r="E13" s="78">
        <v>0.19700000000000001</v>
      </c>
      <c r="F13" s="75" t="s">
        <v>378</v>
      </c>
      <c r="G13" s="75"/>
      <c r="H13" s="81">
        <v>2.16</v>
      </c>
      <c r="I13" s="80" t="s">
        <v>379</v>
      </c>
      <c r="J13" s="65"/>
      <c r="K13" s="70"/>
      <c r="L13" s="71"/>
      <c r="M13" s="72"/>
    </row>
    <row r="14" spans="1:13" ht="28.5" customHeight="1">
      <c r="A14" s="73"/>
      <c r="B14" s="75" t="s">
        <v>383</v>
      </c>
      <c r="C14" s="76">
        <v>0.91</v>
      </c>
      <c r="D14" s="76" t="s">
        <v>377</v>
      </c>
      <c r="E14" s="78">
        <v>0.51800000000000002</v>
      </c>
      <c r="F14" s="75" t="s">
        <v>378</v>
      </c>
      <c r="G14" s="75"/>
      <c r="H14" s="82">
        <v>0.47</v>
      </c>
      <c r="I14" s="80" t="s">
        <v>379</v>
      </c>
      <c r="J14" s="65"/>
      <c r="K14" s="70"/>
      <c r="L14" s="71"/>
      <c r="M14" s="72"/>
    </row>
    <row r="15" spans="1:13">
      <c r="A15" s="73"/>
      <c r="B15" s="83"/>
      <c r="C15" s="84"/>
      <c r="D15" s="76"/>
      <c r="E15" s="70"/>
      <c r="F15" s="85"/>
      <c r="G15" s="85"/>
      <c r="H15" s="86">
        <v>12.22</v>
      </c>
      <c r="I15" s="80"/>
      <c r="J15" s="65"/>
      <c r="K15" s="70"/>
      <c r="L15" s="71"/>
      <c r="M15" s="72"/>
    </row>
    <row r="16" spans="1:13">
      <c r="A16" s="73"/>
      <c r="B16" s="74" t="s">
        <v>310</v>
      </c>
      <c r="C16" s="84"/>
      <c r="D16" s="76"/>
      <c r="E16" s="70"/>
      <c r="F16" s="85"/>
      <c r="G16" s="85"/>
      <c r="H16" s="87">
        <v>1.22</v>
      </c>
      <c r="I16" s="80"/>
      <c r="J16" s="65"/>
      <c r="K16" s="70"/>
      <c r="L16" s="71"/>
      <c r="M16" s="72"/>
    </row>
    <row r="17" spans="1:13">
      <c r="A17" s="73"/>
      <c r="B17" s="74"/>
      <c r="C17" s="84"/>
      <c r="D17" s="76"/>
      <c r="E17" s="70"/>
      <c r="F17" s="85"/>
      <c r="G17" s="85"/>
      <c r="H17" s="86">
        <v>13.440000000000001</v>
      </c>
      <c r="I17" s="80"/>
      <c r="J17" s="65"/>
      <c r="K17" s="70"/>
      <c r="L17" s="71"/>
      <c r="M17" s="72"/>
    </row>
    <row r="18" spans="1:13">
      <c r="A18" s="73"/>
      <c r="B18" s="83"/>
      <c r="C18" s="88">
        <v>13.440000000000001</v>
      </c>
      <c r="D18" s="73" t="s">
        <v>18</v>
      </c>
      <c r="E18" s="89">
        <v>205</v>
      </c>
      <c r="F18" s="72" t="s">
        <v>395</v>
      </c>
      <c r="G18" s="70" t="s">
        <v>384</v>
      </c>
      <c r="H18" s="71">
        <f>E18*C18</f>
        <v>2755.2000000000003</v>
      </c>
      <c r="I18" s="69"/>
      <c r="J18" s="65"/>
      <c r="M18" s="72"/>
    </row>
    <row r="19" spans="1:13">
      <c r="A19" s="73"/>
      <c r="B19" s="74" t="s">
        <v>385</v>
      </c>
      <c r="C19" s="70">
        <v>10.97</v>
      </c>
      <c r="D19" s="73" t="s">
        <v>386</v>
      </c>
      <c r="E19" s="89">
        <v>7</v>
      </c>
      <c r="F19" s="72" t="s">
        <v>396</v>
      </c>
      <c r="G19" s="70" t="s">
        <v>384</v>
      </c>
      <c r="H19" s="71">
        <f>E19*C19</f>
        <v>76.790000000000006</v>
      </c>
      <c r="I19" s="69"/>
      <c r="J19" s="65"/>
      <c r="M19" s="72"/>
    </row>
    <row r="20" spans="1:13">
      <c r="A20" s="73"/>
      <c r="B20" s="74" t="s">
        <v>387</v>
      </c>
      <c r="C20" s="70">
        <v>2</v>
      </c>
      <c r="D20" s="73" t="s">
        <v>64</v>
      </c>
      <c r="E20" s="89">
        <v>40</v>
      </c>
      <c r="F20" s="72" t="s">
        <v>397</v>
      </c>
      <c r="G20" s="70" t="s">
        <v>384</v>
      </c>
      <c r="H20" s="71">
        <f>E20*C20</f>
        <v>80</v>
      </c>
      <c r="I20" s="69"/>
      <c r="J20" s="65"/>
      <c r="M20" s="72"/>
    </row>
    <row r="21" spans="1:13">
      <c r="A21" s="73"/>
      <c r="B21" s="74" t="s">
        <v>338</v>
      </c>
      <c r="C21" s="70">
        <v>4</v>
      </c>
      <c r="D21" s="73" t="s">
        <v>64</v>
      </c>
      <c r="E21" s="89">
        <v>122</v>
      </c>
      <c r="F21" s="72" t="s">
        <v>397</v>
      </c>
      <c r="G21" s="70" t="s">
        <v>384</v>
      </c>
      <c r="H21" s="71">
        <f>E21*C21</f>
        <v>488</v>
      </c>
      <c r="I21" s="69"/>
      <c r="J21" s="65"/>
      <c r="M21" s="72"/>
    </row>
    <row r="22" spans="1:13" ht="13.5">
      <c r="A22" s="73"/>
      <c r="B22" s="74"/>
      <c r="C22" s="70"/>
      <c r="D22" s="73"/>
      <c r="E22" s="65"/>
      <c r="F22" s="89"/>
      <c r="G22" s="70"/>
      <c r="H22" s="72"/>
      <c r="I22" s="69"/>
      <c r="J22" s="65"/>
      <c r="L22" s="90"/>
      <c r="M22" s="72"/>
    </row>
    <row r="23" spans="1:13">
      <c r="A23" s="73"/>
      <c r="B23" s="74" t="s">
        <v>309</v>
      </c>
      <c r="C23" s="70">
        <v>2.23</v>
      </c>
      <c r="D23" s="73" t="s">
        <v>32</v>
      </c>
      <c r="E23" s="65"/>
      <c r="F23" s="76"/>
      <c r="G23" s="70"/>
      <c r="H23" s="76"/>
      <c r="I23" s="69"/>
      <c r="J23" s="65"/>
      <c r="L23" s="89"/>
      <c r="M23" s="72"/>
    </row>
    <row r="24" spans="1:13">
      <c r="A24" s="73"/>
      <c r="B24" s="74" t="s">
        <v>310</v>
      </c>
      <c r="C24" s="87">
        <v>0.22</v>
      </c>
      <c r="D24" s="73" t="s">
        <v>32</v>
      </c>
      <c r="E24" s="65"/>
      <c r="F24" s="76"/>
      <c r="G24" s="70"/>
      <c r="H24" s="76"/>
      <c r="I24" s="69"/>
      <c r="J24" s="65"/>
      <c r="L24" s="89"/>
      <c r="M24" s="72"/>
    </row>
    <row r="25" spans="1:13">
      <c r="A25" s="73"/>
      <c r="B25" s="74"/>
      <c r="C25" s="86">
        <v>2.4500000000000002</v>
      </c>
      <c r="D25" s="73" t="s">
        <v>32</v>
      </c>
      <c r="E25" s="71">
        <v>492</v>
      </c>
      <c r="F25" s="72" t="s">
        <v>398</v>
      </c>
      <c r="G25" s="70" t="s">
        <v>384</v>
      </c>
      <c r="H25" s="71">
        <f>E25*C25</f>
        <v>1205.4000000000001</v>
      </c>
      <c r="I25" s="72"/>
      <c r="J25" s="65"/>
    </row>
    <row r="26" spans="1:13">
      <c r="A26" s="73"/>
      <c r="B26" s="74" t="s">
        <v>389</v>
      </c>
      <c r="C26" s="70">
        <v>15</v>
      </c>
      <c r="D26" s="73" t="s">
        <v>302</v>
      </c>
      <c r="E26" s="89">
        <v>7</v>
      </c>
      <c r="F26" s="72" t="s">
        <v>399</v>
      </c>
      <c r="G26" s="70" t="s">
        <v>384</v>
      </c>
      <c r="H26" s="71">
        <f>E26*C26</f>
        <v>105</v>
      </c>
      <c r="I26" s="72"/>
      <c r="J26" s="65"/>
    </row>
    <row r="27" spans="1:13">
      <c r="A27" s="73"/>
      <c r="B27" s="74" t="s">
        <v>390</v>
      </c>
      <c r="C27" s="70" t="s">
        <v>29</v>
      </c>
      <c r="D27" s="73"/>
      <c r="E27" s="89"/>
      <c r="F27" s="72"/>
      <c r="G27" s="70" t="s">
        <v>384</v>
      </c>
      <c r="H27" s="89">
        <v>50</v>
      </c>
      <c r="I27" s="72"/>
      <c r="J27" s="65"/>
    </row>
    <row r="28" spans="1:13">
      <c r="A28" s="73"/>
      <c r="B28" s="74" t="s">
        <v>307</v>
      </c>
      <c r="C28" s="70">
        <v>1</v>
      </c>
      <c r="D28" s="73" t="s">
        <v>391</v>
      </c>
      <c r="E28" s="89">
        <v>128</v>
      </c>
      <c r="F28" s="72" t="s">
        <v>399</v>
      </c>
      <c r="G28" s="70" t="s">
        <v>384</v>
      </c>
      <c r="H28" s="71">
        <f>E28*C28</f>
        <v>128</v>
      </c>
      <c r="I28" s="72"/>
      <c r="J28" s="65"/>
    </row>
    <row r="29" spans="1:13">
      <c r="A29" s="73"/>
      <c r="B29" s="91" t="s">
        <v>111</v>
      </c>
      <c r="C29" s="70"/>
      <c r="D29" s="73"/>
      <c r="E29" s="89"/>
      <c r="F29" s="76"/>
      <c r="G29" s="70"/>
      <c r="H29" s="89"/>
      <c r="I29" s="72"/>
      <c r="J29" s="65"/>
    </row>
    <row r="30" spans="1:13">
      <c r="A30" s="73"/>
      <c r="B30" s="74" t="s">
        <v>311</v>
      </c>
      <c r="C30" s="70">
        <v>8</v>
      </c>
      <c r="D30" s="73" t="s">
        <v>302</v>
      </c>
      <c r="E30" s="71">
        <v>190</v>
      </c>
      <c r="F30" s="72" t="s">
        <v>399</v>
      </c>
      <c r="G30" s="70" t="s">
        <v>384</v>
      </c>
      <c r="H30" s="71">
        <f>E30*C30</f>
        <v>1520</v>
      </c>
      <c r="I30" s="72"/>
      <c r="J30" s="65"/>
    </row>
    <row r="31" spans="1:13">
      <c r="A31" s="73"/>
      <c r="B31" s="74" t="s">
        <v>61</v>
      </c>
      <c r="C31" s="70">
        <v>8</v>
      </c>
      <c r="D31" s="73" t="s">
        <v>302</v>
      </c>
      <c r="E31" s="71">
        <v>170</v>
      </c>
      <c r="F31" s="72" t="s">
        <v>399</v>
      </c>
      <c r="G31" s="70" t="s">
        <v>384</v>
      </c>
      <c r="H31" s="87">
        <f>E31*C31</f>
        <v>1360</v>
      </c>
      <c r="I31" s="72"/>
      <c r="J31" s="65"/>
    </row>
    <row r="32" spans="1:13">
      <c r="A32" s="73"/>
      <c r="B32" s="74"/>
      <c r="C32" s="70"/>
      <c r="D32" s="73"/>
      <c r="E32" s="65"/>
      <c r="F32" s="71"/>
      <c r="G32" s="70"/>
      <c r="H32" s="89">
        <f>SUM(H18:H31)</f>
        <v>7768.39</v>
      </c>
      <c r="I32" s="72"/>
      <c r="J32" s="65"/>
    </row>
    <row r="33" spans="1:10">
      <c r="A33" s="73"/>
      <c r="B33" s="74" t="s">
        <v>400</v>
      </c>
      <c r="C33" s="70"/>
      <c r="D33" s="73"/>
      <c r="E33" s="76"/>
      <c r="F33" s="89"/>
      <c r="G33" s="70" t="s">
        <v>384</v>
      </c>
      <c r="H33" s="92">
        <f>H32*0.15</f>
        <v>1165.2584999999999</v>
      </c>
      <c r="I33" s="72"/>
      <c r="J33" s="65"/>
    </row>
    <row r="34" spans="1:10">
      <c r="A34" s="73"/>
      <c r="B34" s="93" t="s">
        <v>392</v>
      </c>
      <c r="C34" s="70"/>
      <c r="D34" s="73"/>
      <c r="E34" s="76"/>
      <c r="F34" s="89"/>
      <c r="G34" s="70" t="s">
        <v>384</v>
      </c>
      <c r="H34" s="94">
        <f>SUM(H32:H33)</f>
        <v>8933.6484999999993</v>
      </c>
      <c r="I34" s="72" t="s">
        <v>393</v>
      </c>
      <c r="J34" s="65"/>
    </row>
    <row r="35" spans="1:10">
      <c r="A35" s="73"/>
      <c r="B35" s="70" t="s">
        <v>394</v>
      </c>
      <c r="C35" s="76"/>
      <c r="D35" s="76"/>
      <c r="G35" s="70" t="s">
        <v>384</v>
      </c>
      <c r="H35" s="89">
        <f>H34/2.23</f>
        <v>4006.1204035874439</v>
      </c>
      <c r="I35" s="72" t="s">
        <v>388</v>
      </c>
      <c r="J35" s="65"/>
    </row>
    <row r="37" spans="1:10">
      <c r="A37" s="9" t="s">
        <v>402</v>
      </c>
      <c r="B37" s="17" t="s">
        <v>71</v>
      </c>
      <c r="E37" s="70"/>
      <c r="F37" s="85"/>
      <c r="G37" s="85"/>
      <c r="H37" s="72"/>
    </row>
    <row r="38" spans="1:10" s="9" customFormat="1">
      <c r="A38" s="10"/>
      <c r="B38" s="7" t="s">
        <v>157</v>
      </c>
      <c r="C38" s="11"/>
      <c r="F38" s="11"/>
      <c r="G38" s="11"/>
      <c r="H38" s="11">
        <f>H35</f>
        <v>4006.1204035874439</v>
      </c>
    </row>
    <row r="39" spans="1:10" s="9" customFormat="1" ht="25.5">
      <c r="A39" s="10"/>
      <c r="B39" s="7" t="s">
        <v>277</v>
      </c>
      <c r="C39" s="42"/>
      <c r="F39" s="14" t="s">
        <v>116</v>
      </c>
      <c r="G39" s="14">
        <f>F35</f>
        <v>0</v>
      </c>
      <c r="H39" s="14">
        <f>H38*20%</f>
        <v>801.22408071748885</v>
      </c>
    </row>
    <row r="40" spans="1:10" s="9" customFormat="1">
      <c r="A40" s="10"/>
      <c r="B40" s="7" t="s">
        <v>117</v>
      </c>
      <c r="C40" s="42"/>
      <c r="F40" s="42"/>
      <c r="G40" s="14"/>
      <c r="H40" s="14">
        <f>SUM(H38:H39)</f>
        <v>4807.3444843049328</v>
      </c>
    </row>
    <row r="41" spans="1:10" s="9" customFormat="1">
      <c r="A41" s="10"/>
      <c r="B41" s="28"/>
      <c r="C41" s="43"/>
      <c r="F41" s="43"/>
      <c r="G41" s="26" t="s">
        <v>120</v>
      </c>
      <c r="H41" s="26">
        <f>ROUND(H40,1)</f>
        <v>4807.3</v>
      </c>
      <c r="I41" s="72" t="s">
        <v>388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8"/>
  <sheetViews>
    <sheetView workbookViewId="0">
      <selection activeCell="F63" sqref="F63"/>
    </sheetView>
  </sheetViews>
  <sheetFormatPr defaultRowHeight="12.75"/>
  <cols>
    <col min="1" max="1" width="5.85546875" style="5" customWidth="1"/>
    <col min="2" max="2" width="50.85546875" style="30" customWidth="1"/>
    <col min="3" max="3" width="7.28515625" style="4" customWidth="1"/>
    <col min="4" max="4" width="9.140625" style="4"/>
    <col min="5" max="5" width="9.140625" style="16"/>
    <col min="6" max="6" width="11" style="4" customWidth="1"/>
    <col min="7" max="8" width="9.140625" style="20"/>
    <col min="9" max="9" width="10.28515625" style="20" customWidth="1"/>
    <col min="10" max="16384" width="9.140625" style="20"/>
  </cols>
  <sheetData>
    <row r="1" spans="1:12" ht="15">
      <c r="A1" s="1245" t="s">
        <v>660</v>
      </c>
      <c r="B1" s="1245"/>
      <c r="C1" s="1245"/>
      <c r="D1" s="1245"/>
      <c r="E1" s="1245"/>
      <c r="F1" s="1245"/>
    </row>
    <row r="2" spans="1:12">
      <c r="A2" s="1246"/>
      <c r="B2" s="1246"/>
      <c r="C2" s="1246"/>
      <c r="D2" s="1246"/>
      <c r="E2" s="1246"/>
      <c r="F2" s="1246"/>
    </row>
    <row r="3" spans="1:12" ht="25.5">
      <c r="A3" s="5">
        <v>1</v>
      </c>
      <c r="B3" s="30" t="s">
        <v>661</v>
      </c>
      <c r="C3" s="22"/>
      <c r="D3" s="22"/>
      <c r="E3" s="23"/>
      <c r="F3" s="23"/>
    </row>
    <row r="4" spans="1:12">
      <c r="B4" s="30" t="s">
        <v>52</v>
      </c>
      <c r="C4" s="22"/>
      <c r="D4" s="22"/>
      <c r="E4" s="23"/>
      <c r="F4" s="23"/>
    </row>
    <row r="5" spans="1:12">
      <c r="B5" s="30" t="s">
        <v>28</v>
      </c>
      <c r="C5" s="22" t="s">
        <v>574</v>
      </c>
      <c r="D5" s="22" t="s">
        <v>96</v>
      </c>
      <c r="E5" s="23" t="s">
        <v>567</v>
      </c>
      <c r="F5" s="23" t="s">
        <v>568</v>
      </c>
    </row>
    <row r="6" spans="1:12">
      <c r="B6" s="30" t="s">
        <v>179</v>
      </c>
      <c r="C6" s="5">
        <v>0.17</v>
      </c>
      <c r="D6" s="5" t="s">
        <v>53</v>
      </c>
      <c r="E6" s="24">
        <f>Lead!E29</f>
        <v>650</v>
      </c>
      <c r="F6" s="24">
        <f>C6*E6</f>
        <v>110.50000000000001</v>
      </c>
      <c r="I6" s="16"/>
      <c r="J6" s="16"/>
    </row>
    <row r="7" spans="1:12">
      <c r="B7" s="30" t="s">
        <v>104</v>
      </c>
      <c r="C7" s="22">
        <v>0.06</v>
      </c>
      <c r="D7" s="22" t="s">
        <v>25</v>
      </c>
      <c r="E7" s="23">
        <f>Lead!E20</f>
        <v>55</v>
      </c>
      <c r="F7" s="23">
        <f>C7*E7</f>
        <v>3.3</v>
      </c>
      <c r="I7" s="16"/>
      <c r="J7" s="16"/>
    </row>
    <row r="8" spans="1:12">
      <c r="B8" s="30" t="s">
        <v>180</v>
      </c>
      <c r="C8" s="22">
        <v>0.12</v>
      </c>
      <c r="D8" s="22" t="s">
        <v>25</v>
      </c>
      <c r="E8" s="23">
        <f>Lead!E5</f>
        <v>780</v>
      </c>
      <c r="F8" s="23">
        <f>C8*E8</f>
        <v>93.6</v>
      </c>
      <c r="I8" s="16"/>
      <c r="J8" s="16"/>
    </row>
    <row r="9" spans="1:12">
      <c r="B9" s="30" t="s">
        <v>346</v>
      </c>
      <c r="C9" s="22"/>
      <c r="D9" s="22"/>
      <c r="E9" s="23"/>
      <c r="F9" s="23" t="s">
        <v>23</v>
      </c>
      <c r="I9" s="16"/>
      <c r="J9" s="16"/>
    </row>
    <row r="10" spans="1:12">
      <c r="B10" s="30" t="s">
        <v>181</v>
      </c>
      <c r="C10" s="22">
        <v>0.5</v>
      </c>
      <c r="D10" s="22" t="s">
        <v>24</v>
      </c>
      <c r="E10" s="23" t="e">
        <f>Lead!#REF!</f>
        <v>#REF!</v>
      </c>
      <c r="F10" s="23" t="e">
        <f>C10*E10</f>
        <v>#REF!</v>
      </c>
    </row>
    <row r="11" spans="1:12">
      <c r="B11" s="30" t="s">
        <v>182</v>
      </c>
      <c r="C11" s="22">
        <v>0.5</v>
      </c>
      <c r="D11" s="22" t="s">
        <v>24</v>
      </c>
      <c r="E11" s="23" t="e">
        <f>Lead!#REF!</f>
        <v>#REF!</v>
      </c>
      <c r="F11" s="23" t="e">
        <f>C11*E11</f>
        <v>#REF!</v>
      </c>
    </row>
    <row r="12" spans="1:12">
      <c r="B12" s="30" t="s">
        <v>897</v>
      </c>
      <c r="C12" s="22"/>
      <c r="D12" s="22"/>
      <c r="E12" s="23"/>
      <c r="F12" s="23" t="e">
        <f>0.15*(F10+F11)</f>
        <v>#REF!</v>
      </c>
    </row>
    <row r="13" spans="1:12">
      <c r="B13" s="30" t="s">
        <v>183</v>
      </c>
      <c r="C13" s="22"/>
      <c r="D13" s="22"/>
      <c r="E13" s="23"/>
      <c r="F13" s="23" t="e">
        <f>0.01*(F10+F11)</f>
        <v>#REF!</v>
      </c>
    </row>
    <row r="14" spans="1:12">
      <c r="B14" s="30" t="s">
        <v>54</v>
      </c>
      <c r="C14" s="22">
        <v>0.06</v>
      </c>
      <c r="D14" s="22" t="s">
        <v>25</v>
      </c>
      <c r="E14" s="23">
        <f>Lead!J20</f>
        <v>196.4</v>
      </c>
      <c r="F14" s="23">
        <f>E14*C14</f>
        <v>11.784000000000001</v>
      </c>
    </row>
    <row r="15" spans="1:12">
      <c r="B15" s="30" t="s">
        <v>55</v>
      </c>
      <c r="C15" s="22">
        <v>0.12</v>
      </c>
      <c r="D15" s="22" t="s">
        <v>25</v>
      </c>
      <c r="E15" s="23">
        <f>Lead!J5</f>
        <v>335.2</v>
      </c>
      <c r="F15" s="23">
        <f>E15*C15</f>
        <v>40.223999999999997</v>
      </c>
    </row>
    <row r="16" spans="1:12">
      <c r="B16" s="30" t="s">
        <v>234</v>
      </c>
      <c r="C16" s="5">
        <v>0.17</v>
      </c>
      <c r="D16" s="5" t="s">
        <v>53</v>
      </c>
      <c r="E16" s="24">
        <f>Lead!J29</f>
        <v>16.899999999999999</v>
      </c>
      <c r="F16" s="24">
        <f>C16*E16</f>
        <v>2.8729999999999998</v>
      </c>
      <c r="L16" s="171"/>
    </row>
    <row r="17" spans="1:6">
      <c r="B17" s="30" t="s">
        <v>663</v>
      </c>
      <c r="C17" s="22"/>
      <c r="D17" s="22"/>
      <c r="E17" s="23"/>
      <c r="F17" s="23"/>
    </row>
    <row r="18" spans="1:6" s="260" customFormat="1">
      <c r="A18" s="256"/>
      <c r="B18" s="257" t="s">
        <v>664</v>
      </c>
      <c r="C18" s="258"/>
      <c r="D18" s="258"/>
      <c r="E18" s="259"/>
      <c r="F18" s="259">
        <v>1150</v>
      </c>
    </row>
    <row r="19" spans="1:6">
      <c r="B19" s="30" t="s">
        <v>665</v>
      </c>
      <c r="C19" s="22"/>
      <c r="D19" s="22"/>
      <c r="E19" s="23"/>
      <c r="F19" s="23">
        <v>14.7</v>
      </c>
    </row>
    <row r="20" spans="1:6">
      <c r="B20" s="3" t="s">
        <v>184</v>
      </c>
      <c r="C20" s="22"/>
      <c r="D20" s="22"/>
      <c r="E20" s="23"/>
      <c r="F20" s="23"/>
    </row>
    <row r="21" spans="1:6">
      <c r="B21" s="30" t="s">
        <v>185</v>
      </c>
      <c r="C21" s="22">
        <v>0.5</v>
      </c>
      <c r="D21" s="22" t="s">
        <v>24</v>
      </c>
      <c r="E21" s="23" t="e">
        <f>E10</f>
        <v>#REF!</v>
      </c>
      <c r="F21" s="23" t="e">
        <f>C21*E21</f>
        <v>#REF!</v>
      </c>
    </row>
    <row r="22" spans="1:6">
      <c r="B22" s="30" t="s">
        <v>186</v>
      </c>
      <c r="C22" s="22">
        <v>0.5</v>
      </c>
      <c r="D22" s="22" t="s">
        <v>24</v>
      </c>
      <c r="E22" s="23" t="e">
        <f>E11</f>
        <v>#REF!</v>
      </c>
      <c r="F22" s="23" t="e">
        <f>C22*E22</f>
        <v>#REF!</v>
      </c>
    </row>
    <row r="23" spans="1:6">
      <c r="B23" s="30" t="s">
        <v>666</v>
      </c>
      <c r="C23" s="22"/>
      <c r="D23" s="22"/>
      <c r="E23" s="23"/>
      <c r="F23" s="23" t="e">
        <f>0.15*(F21+F22)</f>
        <v>#REF!</v>
      </c>
    </row>
    <row r="24" spans="1:6">
      <c r="B24" s="30" t="s">
        <v>188</v>
      </c>
      <c r="C24" s="22"/>
      <c r="D24" s="22"/>
      <c r="E24" s="23"/>
      <c r="F24" s="23" t="e">
        <f>0.01*(F21+F22)</f>
        <v>#REF!</v>
      </c>
    </row>
    <row r="25" spans="1:6">
      <c r="B25" s="30" t="s">
        <v>28</v>
      </c>
      <c r="C25" s="22"/>
      <c r="D25" s="22"/>
      <c r="E25" s="23"/>
      <c r="F25" s="23"/>
    </row>
    <row r="26" spans="1:6">
      <c r="B26" s="30" t="s">
        <v>667</v>
      </c>
      <c r="C26" s="22" t="s">
        <v>29</v>
      </c>
      <c r="D26" s="22"/>
      <c r="E26" s="23"/>
      <c r="F26" s="23">
        <v>28.6</v>
      </c>
    </row>
    <row r="27" spans="1:6">
      <c r="B27" s="30" t="s">
        <v>668</v>
      </c>
      <c r="C27" s="22" t="s">
        <v>56</v>
      </c>
      <c r="D27" s="22">
        <v>1</v>
      </c>
      <c r="E27" s="23">
        <v>24</v>
      </c>
      <c r="F27" s="23">
        <f>D27*E27</f>
        <v>24</v>
      </c>
    </row>
    <row r="28" spans="1:6">
      <c r="B28" s="30" t="s">
        <v>189</v>
      </c>
      <c r="C28" s="22" t="s">
        <v>57</v>
      </c>
      <c r="D28" s="22">
        <v>1</v>
      </c>
      <c r="E28" s="23">
        <v>10</v>
      </c>
      <c r="F28" s="23">
        <f>D28*E28</f>
        <v>10</v>
      </c>
    </row>
    <row r="29" spans="1:6" s="260" customFormat="1">
      <c r="A29" s="256"/>
      <c r="B29" s="261" t="s">
        <v>669</v>
      </c>
      <c r="C29" s="258"/>
      <c r="D29" s="258"/>
      <c r="E29" s="259"/>
      <c r="F29" s="259">
        <v>825</v>
      </c>
    </row>
    <row r="30" spans="1:6">
      <c r="C30" s="22"/>
      <c r="D30" s="22"/>
      <c r="E30" s="23"/>
      <c r="F30" s="262" t="s">
        <v>128</v>
      </c>
    </row>
    <row r="31" spans="1:6">
      <c r="C31" s="22"/>
      <c r="D31" s="22"/>
      <c r="E31" s="23"/>
      <c r="F31" s="23" t="e">
        <f>SUM(F6:F29)</f>
        <v>#REF!</v>
      </c>
    </row>
    <row r="32" spans="1:6">
      <c r="B32" s="13" t="s">
        <v>493</v>
      </c>
      <c r="C32" s="38"/>
      <c r="D32" s="38"/>
      <c r="E32" s="38"/>
      <c r="F32" s="35" t="e">
        <f>F31*0.01</f>
        <v>#REF!</v>
      </c>
    </row>
    <row r="33" spans="1:6">
      <c r="B33" s="13" t="s">
        <v>117</v>
      </c>
      <c r="C33" s="38"/>
      <c r="D33" s="38"/>
      <c r="E33" s="38"/>
      <c r="F33" s="35" t="e">
        <f>SUM(F31:F32)</f>
        <v>#REF!</v>
      </c>
    </row>
    <row r="34" spans="1:6">
      <c r="B34" s="28"/>
      <c r="C34" s="28"/>
      <c r="D34" s="28"/>
      <c r="E34" s="12" t="s">
        <v>120</v>
      </c>
      <c r="F34" s="26" t="e">
        <f>ROUND(F33,1)</f>
        <v>#REF!</v>
      </c>
    </row>
    <row r="35" spans="1:6" ht="25.5">
      <c r="A35" s="5">
        <v>2</v>
      </c>
      <c r="B35" s="3" t="s">
        <v>670</v>
      </c>
      <c r="C35" s="23"/>
      <c r="D35" s="23"/>
      <c r="E35" s="23"/>
      <c r="F35" s="23"/>
    </row>
    <row r="36" spans="1:6">
      <c r="B36" s="3" t="s">
        <v>52</v>
      </c>
      <c r="C36" s="23"/>
      <c r="D36" s="23"/>
      <c r="E36" s="23"/>
      <c r="F36" s="23"/>
    </row>
    <row r="37" spans="1:6">
      <c r="B37" s="3" t="s">
        <v>671</v>
      </c>
      <c r="C37" s="23"/>
      <c r="D37" s="23"/>
      <c r="E37" s="23"/>
      <c r="F37" s="23"/>
    </row>
    <row r="38" spans="1:6">
      <c r="B38" s="3" t="s">
        <v>190</v>
      </c>
      <c r="C38" s="23"/>
      <c r="D38" s="23" t="s">
        <v>29</v>
      </c>
      <c r="E38" s="23"/>
      <c r="F38" s="23">
        <v>19.8</v>
      </c>
    </row>
    <row r="39" spans="1:6">
      <c r="B39" s="3" t="s">
        <v>235</v>
      </c>
      <c r="C39" s="23"/>
      <c r="D39" s="23" t="s">
        <v>29</v>
      </c>
      <c r="E39" s="23"/>
      <c r="F39" s="23">
        <v>14.3</v>
      </c>
    </row>
    <row r="40" spans="1:6">
      <c r="B40" s="3" t="s">
        <v>191</v>
      </c>
      <c r="C40" s="23"/>
      <c r="D40" s="23" t="s">
        <v>29</v>
      </c>
      <c r="E40" s="23"/>
      <c r="F40" s="23">
        <v>3.3</v>
      </c>
    </row>
    <row r="41" spans="1:6">
      <c r="B41" s="3" t="s">
        <v>346</v>
      </c>
      <c r="C41" s="23"/>
      <c r="D41" s="23"/>
      <c r="E41" s="23"/>
      <c r="F41" s="23"/>
    </row>
    <row r="42" spans="1:6">
      <c r="B42" s="3" t="s">
        <v>192</v>
      </c>
      <c r="C42" s="23">
        <v>0.5</v>
      </c>
      <c r="D42" s="23" t="s">
        <v>24</v>
      </c>
      <c r="E42" s="23" t="e">
        <f>Lead!#REF!</f>
        <v>#REF!</v>
      </c>
      <c r="F42" s="23" t="e">
        <f>C42*E42</f>
        <v>#REF!</v>
      </c>
    </row>
    <row r="43" spans="1:6">
      <c r="B43" s="3" t="s">
        <v>193</v>
      </c>
      <c r="C43" s="23">
        <v>0.5</v>
      </c>
      <c r="D43" s="23" t="s">
        <v>24</v>
      </c>
      <c r="E43" s="23" t="e">
        <f>Lead!#REF!</f>
        <v>#REF!</v>
      </c>
      <c r="F43" s="23" t="e">
        <f>C43*E43</f>
        <v>#REF!</v>
      </c>
    </row>
    <row r="44" spans="1:6">
      <c r="B44" s="3" t="s">
        <v>898</v>
      </c>
      <c r="C44" s="23"/>
      <c r="D44" s="23"/>
      <c r="E44" s="23"/>
      <c r="F44" s="23" t="e">
        <f>0.15*(F42+F43)</f>
        <v>#REF!</v>
      </c>
    </row>
    <row r="45" spans="1:6">
      <c r="B45" s="3" t="s">
        <v>194</v>
      </c>
      <c r="C45" s="23"/>
      <c r="D45" s="23"/>
      <c r="E45" s="23"/>
      <c r="F45" s="23" t="e">
        <f>0.01*(F42+F43)</f>
        <v>#REF!</v>
      </c>
    </row>
    <row r="46" spans="1:6" s="260" customFormat="1">
      <c r="A46" s="256"/>
      <c r="B46" s="261" t="s">
        <v>672</v>
      </c>
      <c r="C46" s="259"/>
      <c r="D46" s="259"/>
      <c r="E46" s="259"/>
      <c r="F46" s="259">
        <v>1150</v>
      </c>
    </row>
    <row r="47" spans="1:6">
      <c r="B47" s="3" t="s">
        <v>673</v>
      </c>
      <c r="C47" s="23"/>
      <c r="D47" s="23"/>
      <c r="E47" s="23"/>
      <c r="F47" s="23"/>
    </row>
    <row r="48" spans="1:6" ht="25.5">
      <c r="B48" s="3" t="s">
        <v>674</v>
      </c>
      <c r="C48" s="23"/>
      <c r="D48" s="23" t="s">
        <v>29</v>
      </c>
      <c r="E48" s="23"/>
      <c r="F48" s="23">
        <v>22</v>
      </c>
    </row>
    <row r="49" spans="1:6">
      <c r="B49" s="3" t="s">
        <v>28</v>
      </c>
      <c r="C49" s="23"/>
      <c r="D49" s="23"/>
      <c r="E49" s="23"/>
      <c r="F49" s="23"/>
    </row>
    <row r="50" spans="1:6" s="260" customFormat="1" ht="25.5">
      <c r="A50" s="256"/>
      <c r="B50" s="261" t="s">
        <v>675</v>
      </c>
      <c r="C50" s="259"/>
      <c r="D50" s="259"/>
      <c r="E50" s="259"/>
      <c r="F50" s="259">
        <v>425</v>
      </c>
    </row>
    <row r="51" spans="1:6">
      <c r="B51" s="3" t="s">
        <v>184</v>
      </c>
      <c r="C51" s="23"/>
      <c r="D51" s="23"/>
      <c r="E51" s="23"/>
      <c r="F51" s="23"/>
    </row>
    <row r="52" spans="1:6">
      <c r="B52" s="3" t="s">
        <v>185</v>
      </c>
      <c r="C52" s="23">
        <v>0.37</v>
      </c>
      <c r="D52" s="23" t="s">
        <v>24</v>
      </c>
      <c r="E52" s="23" t="e">
        <f>Lead!#REF!</f>
        <v>#REF!</v>
      </c>
      <c r="F52" s="23" t="e">
        <f>C52*E52</f>
        <v>#REF!</v>
      </c>
    </row>
    <row r="53" spans="1:6">
      <c r="B53" s="3" t="s">
        <v>186</v>
      </c>
      <c r="C53" s="23">
        <v>0.68</v>
      </c>
      <c r="D53" s="23" t="s">
        <v>24</v>
      </c>
      <c r="E53" s="23" t="e">
        <f>Lead!#REF!</f>
        <v>#REF!</v>
      </c>
      <c r="F53" s="23" t="e">
        <f>C53*E53</f>
        <v>#REF!</v>
      </c>
    </row>
    <row r="54" spans="1:6">
      <c r="B54" s="3" t="s">
        <v>698</v>
      </c>
      <c r="C54" s="23"/>
      <c r="D54" s="23"/>
      <c r="E54" s="23"/>
      <c r="F54" s="23" t="e">
        <f>0.15*(F52+F53)</f>
        <v>#REF!</v>
      </c>
    </row>
    <row r="55" spans="1:6">
      <c r="B55" s="3" t="s">
        <v>188</v>
      </c>
      <c r="C55" s="23"/>
      <c r="D55" s="23"/>
      <c r="E55" s="23"/>
      <c r="F55" s="23" t="e">
        <f>0.01*(F52+F53)</f>
        <v>#REF!</v>
      </c>
    </row>
    <row r="56" spans="1:6">
      <c r="B56" s="3" t="s">
        <v>28</v>
      </c>
      <c r="C56" s="23"/>
      <c r="D56" s="23"/>
      <c r="E56" s="23"/>
      <c r="F56" s="23"/>
    </row>
    <row r="57" spans="1:6">
      <c r="B57" s="3" t="s">
        <v>667</v>
      </c>
      <c r="C57" s="23"/>
      <c r="D57" s="23" t="s">
        <v>29</v>
      </c>
      <c r="E57" s="23"/>
      <c r="F57" s="23">
        <v>28.6</v>
      </c>
    </row>
    <row r="58" spans="1:6">
      <c r="B58" s="3" t="s">
        <v>668</v>
      </c>
      <c r="C58" s="23">
        <v>1</v>
      </c>
      <c r="D58" s="23" t="s">
        <v>56</v>
      </c>
      <c r="E58" s="23">
        <v>24</v>
      </c>
      <c r="F58" s="23">
        <f>C58*E58</f>
        <v>24</v>
      </c>
    </row>
    <row r="59" spans="1:6">
      <c r="B59" s="3" t="s">
        <v>189</v>
      </c>
      <c r="C59" s="23">
        <v>1</v>
      </c>
      <c r="D59" s="23" t="s">
        <v>57</v>
      </c>
      <c r="E59" s="23">
        <v>10</v>
      </c>
      <c r="F59" s="23">
        <f>C59*E59</f>
        <v>10</v>
      </c>
    </row>
    <row r="60" spans="1:6" s="264" customFormat="1">
      <c r="A60" s="263"/>
      <c r="B60" s="261" t="s">
        <v>669</v>
      </c>
      <c r="C60" s="258"/>
      <c r="D60" s="258"/>
      <c r="E60" s="259"/>
      <c r="F60" s="259">
        <v>825</v>
      </c>
    </row>
    <row r="61" spans="1:6">
      <c r="C61" s="23"/>
      <c r="D61" s="23"/>
      <c r="E61" s="23"/>
      <c r="F61" s="262" t="s">
        <v>30</v>
      </c>
    </row>
    <row r="62" spans="1:6">
      <c r="C62" s="23"/>
      <c r="D62" s="23"/>
      <c r="E62" s="23"/>
      <c r="F62" s="23" t="e">
        <f>SUM(F38:F60)</f>
        <v>#REF!</v>
      </c>
    </row>
    <row r="63" spans="1:6">
      <c r="C63" s="16"/>
      <c r="D63" s="16"/>
      <c r="E63" s="16" t="s">
        <v>120</v>
      </c>
      <c r="F63" s="25" t="e">
        <f>ROUND(F62,1)</f>
        <v>#REF!</v>
      </c>
    </row>
    <row r="64" spans="1:6" ht="25.5" hidden="1">
      <c r="A64" s="5">
        <v>3</v>
      </c>
      <c r="B64" s="3" t="s">
        <v>342</v>
      </c>
      <c r="C64" s="23"/>
      <c r="D64" s="23"/>
      <c r="E64" s="23"/>
      <c r="F64" s="23"/>
    </row>
    <row r="65" spans="1:6" hidden="1">
      <c r="B65" s="3" t="s">
        <v>677</v>
      </c>
      <c r="C65" s="23"/>
      <c r="D65" s="23"/>
      <c r="E65" s="23"/>
      <c r="F65" s="23"/>
    </row>
    <row r="66" spans="1:6" hidden="1">
      <c r="B66" s="3" t="s">
        <v>28</v>
      </c>
      <c r="C66" s="23"/>
      <c r="D66" s="23"/>
      <c r="E66" s="23"/>
      <c r="F66" s="23"/>
    </row>
    <row r="67" spans="1:6" hidden="1">
      <c r="B67" s="3" t="s">
        <v>678</v>
      </c>
      <c r="C67" s="23">
        <v>1</v>
      </c>
      <c r="D67" s="23" t="s">
        <v>56</v>
      </c>
      <c r="E67" s="23">
        <v>40</v>
      </c>
      <c r="F67" s="23">
        <f>C67*E67</f>
        <v>40</v>
      </c>
    </row>
    <row r="68" spans="1:6" hidden="1">
      <c r="B68" s="3" t="s">
        <v>679</v>
      </c>
      <c r="C68" s="23"/>
      <c r="D68" s="23" t="s">
        <v>29</v>
      </c>
      <c r="E68" s="23"/>
      <c r="F68" s="23">
        <v>13.2</v>
      </c>
    </row>
    <row r="69" spans="1:6" hidden="1">
      <c r="B69" s="3" t="s">
        <v>346</v>
      </c>
      <c r="C69" s="23"/>
      <c r="D69" s="23"/>
      <c r="E69" s="23"/>
      <c r="F69" s="23"/>
    </row>
    <row r="70" spans="1:6" hidden="1">
      <c r="B70" s="3" t="s">
        <v>680</v>
      </c>
      <c r="C70" s="23">
        <v>0.38</v>
      </c>
      <c r="D70" s="23" t="s">
        <v>24</v>
      </c>
      <c r="E70" s="23">
        <v>190</v>
      </c>
      <c r="F70" s="23">
        <f>C70*E70</f>
        <v>72.2</v>
      </c>
    </row>
    <row r="71" spans="1:6" hidden="1">
      <c r="B71" s="3" t="s">
        <v>158</v>
      </c>
      <c r="C71" s="23">
        <v>0.38</v>
      </c>
      <c r="D71" s="23" t="s">
        <v>24</v>
      </c>
      <c r="E71" s="23">
        <v>150</v>
      </c>
      <c r="F71" s="23">
        <f>C71*E71</f>
        <v>57</v>
      </c>
    </row>
    <row r="72" spans="1:6" hidden="1">
      <c r="B72" s="3" t="s">
        <v>681</v>
      </c>
      <c r="C72" s="23"/>
      <c r="D72" s="23"/>
      <c r="E72" s="23"/>
      <c r="F72" s="23">
        <f>0.125*(F70+F71)</f>
        <v>16.149999999999999</v>
      </c>
    </row>
    <row r="73" spans="1:6" hidden="1">
      <c r="B73" s="3" t="s">
        <v>682</v>
      </c>
      <c r="C73" s="23"/>
      <c r="D73" s="23"/>
      <c r="E73" s="23"/>
      <c r="F73" s="23">
        <f>0.01*(F70+F71)</f>
        <v>1.2919999999999998</v>
      </c>
    </row>
    <row r="74" spans="1:6" hidden="1">
      <c r="B74" s="3" t="s">
        <v>683</v>
      </c>
      <c r="C74" s="23"/>
      <c r="D74" s="23"/>
      <c r="E74" s="23"/>
      <c r="F74" s="23">
        <f>0.08*(F70+F71)</f>
        <v>10.335999999999999</v>
      </c>
    </row>
    <row r="75" spans="1:6" s="260" customFormat="1" hidden="1">
      <c r="A75" s="256"/>
      <c r="B75" s="261" t="s">
        <v>684</v>
      </c>
      <c r="C75" s="259">
        <v>1</v>
      </c>
      <c r="D75" s="259" t="s">
        <v>56</v>
      </c>
      <c r="E75" s="259">
        <v>750</v>
      </c>
      <c r="F75" s="259">
        <f>C75*E75</f>
        <v>750</v>
      </c>
    </row>
    <row r="76" spans="1:6" s="260" customFormat="1" hidden="1">
      <c r="A76" s="256"/>
      <c r="B76" s="261" t="s">
        <v>685</v>
      </c>
      <c r="C76" s="259">
        <v>1</v>
      </c>
      <c r="D76" s="259" t="s">
        <v>56</v>
      </c>
      <c r="E76" s="259">
        <v>300</v>
      </c>
      <c r="F76" s="259">
        <f>C76*E76</f>
        <v>300</v>
      </c>
    </row>
    <row r="77" spans="1:6" s="260" customFormat="1" hidden="1">
      <c r="A77" s="256"/>
      <c r="B77" s="261" t="s">
        <v>686</v>
      </c>
      <c r="C77" s="259"/>
      <c r="D77" s="259"/>
      <c r="E77" s="259"/>
      <c r="F77" s="259">
        <v>1000</v>
      </c>
    </row>
    <row r="78" spans="1:6" hidden="1">
      <c r="B78" s="3" t="s">
        <v>687</v>
      </c>
      <c r="C78" s="23">
        <v>0.37</v>
      </c>
      <c r="D78" s="23" t="s">
        <v>24</v>
      </c>
      <c r="E78" s="23">
        <v>190</v>
      </c>
      <c r="F78" s="23">
        <f>C78*E78</f>
        <v>70.3</v>
      </c>
    </row>
    <row r="79" spans="1:6" hidden="1">
      <c r="B79" s="3" t="s">
        <v>186</v>
      </c>
      <c r="C79" s="23">
        <v>0.68</v>
      </c>
      <c r="D79" s="23" t="s">
        <v>24</v>
      </c>
      <c r="E79" s="23">
        <v>150</v>
      </c>
      <c r="F79" s="23">
        <f>C79*E79</f>
        <v>102.00000000000001</v>
      </c>
    </row>
    <row r="80" spans="1:6" hidden="1">
      <c r="B80" s="3" t="s">
        <v>58</v>
      </c>
      <c r="C80" s="23">
        <v>0.37</v>
      </c>
      <c r="D80" s="23" t="s">
        <v>24</v>
      </c>
      <c r="E80" s="23">
        <v>190</v>
      </c>
      <c r="F80" s="23">
        <f>C80*E80</f>
        <v>70.3</v>
      </c>
    </row>
    <row r="81" spans="1:6" hidden="1">
      <c r="B81" s="3" t="s">
        <v>681</v>
      </c>
      <c r="C81" s="23"/>
      <c r="D81" s="23"/>
      <c r="E81" s="23"/>
      <c r="F81" s="23">
        <f>0.125*(F78+F79+F80)</f>
        <v>30.325000000000003</v>
      </c>
    </row>
    <row r="82" spans="1:6" hidden="1">
      <c r="B82" s="3" t="s">
        <v>682</v>
      </c>
      <c r="C82" s="23"/>
      <c r="D82" s="23"/>
      <c r="E82" s="23"/>
      <c r="F82" s="23">
        <f>0.01*(F78+F79+F80)</f>
        <v>2.4260000000000002</v>
      </c>
    </row>
    <row r="83" spans="1:6" hidden="1">
      <c r="B83" s="3" t="s">
        <v>683</v>
      </c>
      <c r="C83" s="23"/>
      <c r="D83" s="23"/>
      <c r="E83" s="23"/>
      <c r="F83" s="23">
        <f>0.08*(F78+F79+F80)</f>
        <v>19.408000000000001</v>
      </c>
    </row>
    <row r="84" spans="1:6" hidden="1">
      <c r="B84" s="3" t="s">
        <v>28</v>
      </c>
      <c r="C84" s="23"/>
      <c r="D84" s="23"/>
      <c r="E84" s="23"/>
      <c r="F84" s="23"/>
    </row>
    <row r="85" spans="1:6" hidden="1">
      <c r="B85" s="3" t="s">
        <v>688</v>
      </c>
      <c r="C85" s="23"/>
      <c r="D85" s="23" t="s">
        <v>29</v>
      </c>
      <c r="E85" s="23"/>
      <c r="F85" s="23">
        <v>28.6</v>
      </c>
    </row>
    <row r="86" spans="1:6" hidden="1">
      <c r="B86" s="3" t="s">
        <v>689</v>
      </c>
      <c r="C86" s="23">
        <v>1</v>
      </c>
      <c r="D86" s="23" t="s">
        <v>56</v>
      </c>
      <c r="E86" s="23">
        <v>24</v>
      </c>
      <c r="F86" s="23">
        <f>C86*E86</f>
        <v>24</v>
      </c>
    </row>
    <row r="87" spans="1:6" hidden="1">
      <c r="B87" s="3" t="s">
        <v>690</v>
      </c>
      <c r="C87" s="23">
        <v>1</v>
      </c>
      <c r="D87" s="23" t="s">
        <v>691</v>
      </c>
      <c r="E87" s="23">
        <v>10</v>
      </c>
      <c r="F87" s="23">
        <f>C87*E87</f>
        <v>10</v>
      </c>
    </row>
    <row r="88" spans="1:6" hidden="1">
      <c r="C88" s="23"/>
      <c r="D88" s="23"/>
      <c r="E88" s="23"/>
      <c r="F88" s="262" t="s">
        <v>30</v>
      </c>
    </row>
    <row r="89" spans="1:6" hidden="1">
      <c r="C89" s="23"/>
      <c r="D89" s="23"/>
      <c r="E89" s="23"/>
      <c r="F89" s="23">
        <f>SUM(F67:F87)</f>
        <v>2617.5369999999998</v>
      </c>
    </row>
    <row r="90" spans="1:6" hidden="1">
      <c r="C90" s="23"/>
      <c r="D90" s="23"/>
      <c r="E90" s="23" t="s">
        <v>120</v>
      </c>
      <c r="F90" s="25">
        <f>ROUND(F89,1)</f>
        <v>2617.5</v>
      </c>
    </row>
    <row r="91" spans="1:6" s="268" customFormat="1" ht="25.5" hidden="1">
      <c r="A91" s="265">
        <v>4</v>
      </c>
      <c r="B91" s="266" t="s">
        <v>692</v>
      </c>
      <c r="C91" s="267"/>
      <c r="D91" s="267"/>
      <c r="E91" s="267"/>
      <c r="F91" s="267"/>
    </row>
    <row r="92" spans="1:6" s="268" customFormat="1" hidden="1">
      <c r="A92" s="265"/>
      <c r="B92" s="266" t="s">
        <v>677</v>
      </c>
      <c r="C92" s="267"/>
      <c r="D92" s="267"/>
      <c r="E92" s="267"/>
      <c r="F92" s="267"/>
    </row>
    <row r="93" spans="1:6" s="268" customFormat="1" hidden="1">
      <c r="A93" s="265"/>
      <c r="B93" s="266" t="s">
        <v>28</v>
      </c>
      <c r="C93" s="267"/>
      <c r="D93" s="267"/>
      <c r="E93" s="267"/>
      <c r="F93" s="267"/>
    </row>
    <row r="94" spans="1:6" s="268" customFormat="1" hidden="1">
      <c r="A94" s="265"/>
      <c r="B94" s="266" t="s">
        <v>693</v>
      </c>
      <c r="C94" s="267">
        <v>0.08</v>
      </c>
      <c r="D94" s="267" t="s">
        <v>432</v>
      </c>
      <c r="E94" s="267">
        <v>3157.4</v>
      </c>
      <c r="F94" s="267">
        <f>C94*E94</f>
        <v>252.59200000000001</v>
      </c>
    </row>
    <row r="95" spans="1:6" s="268" customFormat="1" hidden="1">
      <c r="A95" s="265"/>
      <c r="B95" s="266" t="s">
        <v>694</v>
      </c>
      <c r="C95" s="267"/>
      <c r="D95" s="267" t="s">
        <v>29</v>
      </c>
      <c r="E95" s="267"/>
      <c r="F95" s="267">
        <v>11</v>
      </c>
    </row>
    <row r="96" spans="1:6" s="268" customFormat="1" hidden="1">
      <c r="A96" s="265"/>
      <c r="B96" s="266" t="s">
        <v>346</v>
      </c>
      <c r="C96" s="267"/>
      <c r="D96" s="267"/>
      <c r="E96" s="267"/>
      <c r="F96" s="267"/>
    </row>
    <row r="97" spans="1:6" s="268" customFormat="1" hidden="1">
      <c r="A97" s="265"/>
      <c r="B97" s="266" t="s">
        <v>680</v>
      </c>
      <c r="C97" s="267">
        <v>0.5</v>
      </c>
      <c r="D97" s="267" t="s">
        <v>24</v>
      </c>
      <c r="E97" s="267">
        <v>190</v>
      </c>
      <c r="F97" s="267">
        <f>C97*E97</f>
        <v>95</v>
      </c>
    </row>
    <row r="98" spans="1:6" s="268" customFormat="1" hidden="1">
      <c r="A98" s="265"/>
      <c r="B98" s="266" t="s">
        <v>158</v>
      </c>
      <c r="C98" s="267">
        <v>1</v>
      </c>
      <c r="D98" s="267" t="s">
        <v>24</v>
      </c>
      <c r="E98" s="267">
        <v>150</v>
      </c>
      <c r="F98" s="267">
        <f>C98*E98</f>
        <v>150</v>
      </c>
    </row>
    <row r="99" spans="1:6" s="268" customFormat="1" hidden="1">
      <c r="A99" s="265"/>
      <c r="B99" s="266" t="s">
        <v>58</v>
      </c>
      <c r="C99" s="267">
        <v>0.5</v>
      </c>
      <c r="D99" s="267" t="s">
        <v>24</v>
      </c>
      <c r="E99" s="267">
        <v>150</v>
      </c>
      <c r="F99" s="267">
        <f>C99*E99</f>
        <v>75</v>
      </c>
    </row>
    <row r="100" spans="1:6" s="268" customFormat="1" hidden="1">
      <c r="A100" s="265"/>
      <c r="B100" s="266" t="s">
        <v>681</v>
      </c>
      <c r="C100" s="267"/>
      <c r="D100" s="267"/>
      <c r="E100" s="267"/>
      <c r="F100" s="267">
        <f>0.125*(F97+F98+F99)</f>
        <v>40</v>
      </c>
    </row>
    <row r="101" spans="1:6" s="268" customFormat="1" hidden="1">
      <c r="A101" s="265"/>
      <c r="B101" s="266" t="s">
        <v>682</v>
      </c>
      <c r="C101" s="267"/>
      <c r="D101" s="267"/>
      <c r="E101" s="267"/>
      <c r="F101" s="267">
        <f>0.01*(F97+F98+F99)</f>
        <v>3.2</v>
      </c>
    </row>
    <row r="102" spans="1:6" s="268" customFormat="1" hidden="1">
      <c r="A102" s="265"/>
      <c r="B102" s="266" t="s">
        <v>683</v>
      </c>
      <c r="C102" s="267"/>
      <c r="D102" s="267"/>
      <c r="E102" s="267"/>
      <c r="F102" s="269">
        <f>0.08*(F97+F98+F99)</f>
        <v>25.6</v>
      </c>
    </row>
    <row r="103" spans="1:6" s="268" customFormat="1" hidden="1">
      <c r="A103" s="265"/>
      <c r="B103" s="270"/>
      <c r="C103" s="267"/>
      <c r="D103" s="267"/>
      <c r="E103" s="267"/>
      <c r="F103" s="267">
        <f>SUM(F94:F102)</f>
        <v>652.39200000000005</v>
      </c>
    </row>
    <row r="104" spans="1:6" s="268" customFormat="1" hidden="1">
      <c r="A104" s="265"/>
      <c r="B104" s="270"/>
      <c r="C104" s="267"/>
      <c r="D104" s="267"/>
      <c r="E104" s="267" t="s">
        <v>120</v>
      </c>
      <c r="F104" s="267">
        <f>ROUND(F103,1)</f>
        <v>652.4</v>
      </c>
    </row>
    <row r="105" spans="1:6" s="264" customFormat="1" hidden="1">
      <c r="A105" s="263"/>
      <c r="B105" s="271" t="s">
        <v>695</v>
      </c>
      <c r="C105" s="272"/>
      <c r="D105" s="272"/>
      <c r="F105" s="273">
        <v>1025</v>
      </c>
    </row>
    <row r="106" spans="1:6" s="268" customFormat="1" hidden="1">
      <c r="A106" s="265"/>
      <c r="B106" s="270"/>
      <c r="C106" s="267"/>
      <c r="D106" s="267"/>
      <c r="E106" s="267" t="s">
        <v>384</v>
      </c>
      <c r="F106" s="274">
        <f>SUM(F104:F105)</f>
        <v>1677.4</v>
      </c>
    </row>
    <row r="107" spans="1:6" s="264" customFormat="1" hidden="1">
      <c r="A107" s="263"/>
      <c r="B107" s="271"/>
      <c r="C107" s="272"/>
      <c r="D107" s="272"/>
      <c r="E107" s="272"/>
      <c r="F107" s="275"/>
    </row>
    <row r="108" spans="1:6" ht="25.5">
      <c r="A108" s="5">
        <v>3</v>
      </c>
      <c r="B108" s="3" t="s">
        <v>696</v>
      </c>
      <c r="C108" s="23"/>
      <c r="D108" s="23"/>
      <c r="E108" s="23"/>
      <c r="F108" s="23"/>
    </row>
    <row r="109" spans="1:6">
      <c r="B109" s="3" t="s">
        <v>52</v>
      </c>
      <c r="C109" s="23"/>
      <c r="D109" s="23"/>
      <c r="E109" s="23"/>
      <c r="F109" s="23"/>
    </row>
    <row r="110" spans="1:6">
      <c r="B110" s="3" t="s">
        <v>28</v>
      </c>
      <c r="C110" s="23"/>
      <c r="D110" s="23"/>
      <c r="E110" s="23"/>
      <c r="F110" s="23"/>
    </row>
    <row r="111" spans="1:6">
      <c r="A111" s="4"/>
      <c r="B111" s="3" t="s">
        <v>697</v>
      </c>
      <c r="C111" s="23">
        <v>1</v>
      </c>
      <c r="D111" s="23" t="s">
        <v>57</v>
      </c>
      <c r="E111" s="23">
        <v>27.1</v>
      </c>
      <c r="F111" s="23">
        <f>C111*E111</f>
        <v>27.1</v>
      </c>
    </row>
    <row r="112" spans="1:6" ht="13.5" customHeight="1">
      <c r="A112" s="4"/>
      <c r="B112" s="3" t="s">
        <v>236</v>
      </c>
      <c r="C112" s="23"/>
      <c r="D112" s="24" t="s">
        <v>29</v>
      </c>
      <c r="E112" s="24"/>
      <c r="F112" s="24">
        <v>26.4</v>
      </c>
    </row>
    <row r="113" spans="1:6">
      <c r="A113" s="4"/>
      <c r="B113" s="3" t="s">
        <v>346</v>
      </c>
      <c r="C113" s="23"/>
      <c r="D113" s="23"/>
      <c r="E113" s="23"/>
      <c r="F113" s="23"/>
    </row>
    <row r="114" spans="1:6">
      <c r="A114" s="4"/>
      <c r="B114" s="3" t="s">
        <v>195</v>
      </c>
      <c r="C114" s="23">
        <v>0.33</v>
      </c>
      <c r="D114" s="23" t="s">
        <v>24</v>
      </c>
      <c r="E114" s="23" t="e">
        <f>Lead!#REF!</f>
        <v>#REF!</v>
      </c>
      <c r="F114" s="23" t="e">
        <f>C114*E114</f>
        <v>#REF!</v>
      </c>
    </row>
    <row r="115" spans="1:6">
      <c r="A115" s="4"/>
      <c r="B115" s="3" t="s">
        <v>196</v>
      </c>
      <c r="C115" s="23">
        <v>0.67</v>
      </c>
      <c r="D115" s="23" t="s">
        <v>24</v>
      </c>
      <c r="E115" s="23" t="e">
        <f>Lead!#REF!</f>
        <v>#REF!</v>
      </c>
      <c r="F115" s="23" t="e">
        <f>C115*E115</f>
        <v>#REF!</v>
      </c>
    </row>
    <row r="116" spans="1:6">
      <c r="A116" s="4"/>
      <c r="B116" s="3" t="s">
        <v>187</v>
      </c>
      <c r="C116" s="23">
        <v>0.33</v>
      </c>
      <c r="D116" s="23" t="s">
        <v>24</v>
      </c>
      <c r="E116" s="23" t="e">
        <f>Lead!#REF!</f>
        <v>#REF!</v>
      </c>
      <c r="F116" s="23" t="e">
        <f>C116*E116</f>
        <v>#REF!</v>
      </c>
    </row>
    <row r="117" spans="1:6">
      <c r="A117" s="4"/>
      <c r="B117" s="3" t="s">
        <v>698</v>
      </c>
      <c r="C117" s="23"/>
      <c r="D117" s="23"/>
      <c r="E117" s="23"/>
      <c r="F117" s="23" t="e">
        <f>0.15*(F114+F115+F116)</f>
        <v>#REF!</v>
      </c>
    </row>
    <row r="118" spans="1:6">
      <c r="A118" s="4"/>
      <c r="B118" s="3" t="s">
        <v>194</v>
      </c>
      <c r="C118" s="23"/>
      <c r="D118" s="23"/>
      <c r="E118" s="23"/>
      <c r="F118" s="23" t="e">
        <f>0.01*(F114+F115+F116)</f>
        <v>#REF!</v>
      </c>
    </row>
    <row r="119" spans="1:6" s="260" customFormat="1">
      <c r="A119" s="276"/>
      <c r="B119" s="261" t="s">
        <v>699</v>
      </c>
      <c r="C119" s="259">
        <v>1</v>
      </c>
      <c r="D119" s="259" t="s">
        <v>56</v>
      </c>
      <c r="E119" s="259">
        <v>875</v>
      </c>
      <c r="F119" s="259">
        <f>C119*E119</f>
        <v>875</v>
      </c>
    </row>
    <row r="120" spans="1:6" ht="25.5">
      <c r="A120" s="4"/>
      <c r="B120" s="3" t="s">
        <v>700</v>
      </c>
      <c r="C120" s="23"/>
      <c r="D120" s="23"/>
      <c r="E120" s="23"/>
      <c r="F120" s="23"/>
    </row>
    <row r="121" spans="1:6">
      <c r="A121" s="4"/>
      <c r="B121" s="3" t="s">
        <v>52</v>
      </c>
      <c r="C121" s="23"/>
      <c r="D121" s="23"/>
      <c r="E121" s="23"/>
      <c r="F121" s="23"/>
    </row>
    <row r="122" spans="1:6" ht="25.5">
      <c r="A122" s="4"/>
      <c r="B122" s="3" t="s">
        <v>701</v>
      </c>
      <c r="C122" s="23"/>
      <c r="D122" s="23" t="s">
        <v>29</v>
      </c>
      <c r="E122" s="23"/>
      <c r="F122" s="23">
        <v>6.6</v>
      </c>
    </row>
    <row r="123" spans="1:6">
      <c r="A123" s="4"/>
      <c r="B123" s="3" t="s">
        <v>28</v>
      </c>
      <c r="C123" s="23"/>
      <c r="D123" s="23"/>
      <c r="E123" s="23"/>
      <c r="F123" s="23"/>
    </row>
    <row r="124" spans="1:6">
      <c r="A124" s="4"/>
      <c r="B124" s="3" t="s">
        <v>702</v>
      </c>
      <c r="C124" s="23">
        <v>1</v>
      </c>
      <c r="D124" s="23" t="s">
        <v>62</v>
      </c>
      <c r="E124" s="23">
        <v>40</v>
      </c>
      <c r="F124" s="23">
        <f>C124*E124</f>
        <v>40</v>
      </c>
    </row>
    <row r="125" spans="1:6" ht="39.75" customHeight="1">
      <c r="A125" s="4"/>
      <c r="B125" s="3" t="s">
        <v>703</v>
      </c>
      <c r="C125" s="23"/>
      <c r="D125" s="23"/>
      <c r="E125" s="23"/>
      <c r="F125" s="23"/>
    </row>
    <row r="126" spans="1:6">
      <c r="A126" s="4"/>
      <c r="B126" s="3" t="s">
        <v>704</v>
      </c>
      <c r="C126" s="23"/>
      <c r="D126" s="23"/>
      <c r="E126" s="23"/>
      <c r="F126" s="23"/>
    </row>
    <row r="127" spans="1:6">
      <c r="A127" s="4"/>
      <c r="B127" s="3" t="s">
        <v>52</v>
      </c>
      <c r="C127" s="23"/>
      <c r="D127" s="23"/>
      <c r="E127" s="23"/>
      <c r="F127" s="23"/>
    </row>
    <row r="128" spans="1:6" ht="25.5">
      <c r="A128" s="4"/>
      <c r="B128" s="3" t="s">
        <v>705</v>
      </c>
      <c r="C128" s="23"/>
      <c r="D128" s="23" t="s">
        <v>29</v>
      </c>
      <c r="E128" s="23"/>
      <c r="F128" s="23">
        <v>6.6</v>
      </c>
    </row>
    <row r="129" spans="1:6">
      <c r="A129" s="4"/>
      <c r="B129" s="3" t="s">
        <v>28</v>
      </c>
      <c r="C129" s="23"/>
      <c r="D129" s="23"/>
      <c r="E129" s="23"/>
      <c r="F129" s="23"/>
    </row>
    <row r="130" spans="1:6" s="260" customFormat="1">
      <c r="A130" s="276"/>
      <c r="B130" s="261" t="s">
        <v>706</v>
      </c>
      <c r="C130" s="259">
        <v>1</v>
      </c>
      <c r="D130" s="259" t="s">
        <v>56</v>
      </c>
      <c r="E130" s="259">
        <v>570</v>
      </c>
      <c r="F130" s="259">
        <f>C130*E130</f>
        <v>570</v>
      </c>
    </row>
    <row r="131" spans="1:6" ht="38.25">
      <c r="A131" s="4"/>
      <c r="B131" s="3" t="s">
        <v>707</v>
      </c>
      <c r="C131" s="23"/>
      <c r="D131" s="23"/>
      <c r="E131" s="23"/>
      <c r="F131" s="23"/>
    </row>
    <row r="132" spans="1:6" ht="25.5">
      <c r="A132" s="4"/>
      <c r="B132" s="3" t="s">
        <v>708</v>
      </c>
      <c r="C132" s="23"/>
      <c r="D132" s="23" t="s">
        <v>29</v>
      </c>
      <c r="E132" s="23"/>
      <c r="F132" s="23">
        <v>6.6</v>
      </c>
    </row>
    <row r="133" spans="1:6">
      <c r="A133" s="4"/>
      <c r="B133" s="3" t="s">
        <v>28</v>
      </c>
      <c r="C133" s="23"/>
      <c r="D133" s="23"/>
      <c r="E133" s="23"/>
      <c r="F133" s="23"/>
    </row>
    <row r="134" spans="1:6">
      <c r="A134" s="4"/>
      <c r="B134" s="3" t="s">
        <v>709</v>
      </c>
      <c r="C134" s="23"/>
      <c r="D134" s="23"/>
      <c r="E134" s="23"/>
      <c r="F134" s="23">
        <v>24</v>
      </c>
    </row>
    <row r="135" spans="1:6" ht="25.5">
      <c r="A135" s="4"/>
      <c r="B135" s="3" t="s">
        <v>710</v>
      </c>
      <c r="C135" s="23"/>
      <c r="D135" s="23"/>
      <c r="E135" s="23"/>
      <c r="F135" s="23"/>
    </row>
    <row r="136" spans="1:6" ht="25.5">
      <c r="A136" s="4"/>
      <c r="B136" s="3" t="s">
        <v>711</v>
      </c>
      <c r="C136" s="23"/>
      <c r="D136" s="23" t="s">
        <v>29</v>
      </c>
      <c r="E136" s="23"/>
      <c r="F136" s="23">
        <v>6.6</v>
      </c>
    </row>
    <row r="137" spans="1:6">
      <c r="A137" s="4"/>
      <c r="B137" s="3" t="s">
        <v>28</v>
      </c>
      <c r="C137" s="23"/>
      <c r="D137" s="23"/>
      <c r="E137" s="23"/>
      <c r="F137" s="23"/>
    </row>
    <row r="138" spans="1:6">
      <c r="A138" s="4"/>
      <c r="B138" s="3" t="s">
        <v>712</v>
      </c>
      <c r="C138" s="23"/>
      <c r="D138" s="23"/>
      <c r="E138" s="23"/>
      <c r="F138" s="23">
        <v>40</v>
      </c>
    </row>
    <row r="139" spans="1:6">
      <c r="A139" s="4"/>
      <c r="B139" s="3" t="s">
        <v>117</v>
      </c>
      <c r="C139" s="23"/>
      <c r="D139" s="23"/>
      <c r="E139" s="23"/>
      <c r="F139" s="23" t="e">
        <f>SUM(F111:F138)</f>
        <v>#REF!</v>
      </c>
    </row>
    <row r="140" spans="1:6">
      <c r="A140" s="4"/>
      <c r="B140" s="3" t="s">
        <v>713</v>
      </c>
      <c r="C140" s="23"/>
      <c r="D140" s="23"/>
      <c r="E140" s="23"/>
      <c r="F140" s="23"/>
    </row>
    <row r="141" spans="1:6" s="260" customFormat="1">
      <c r="A141" s="276"/>
      <c r="B141" s="261" t="s">
        <v>714</v>
      </c>
      <c r="C141" s="259">
        <v>1</v>
      </c>
      <c r="D141" s="259" t="s">
        <v>56</v>
      </c>
      <c r="E141" s="259">
        <v>525</v>
      </c>
      <c r="F141" s="259">
        <f>C141*E141</f>
        <v>525</v>
      </c>
    </row>
    <row r="142" spans="1:6">
      <c r="A142" s="4"/>
      <c r="B142" s="3" t="s">
        <v>715</v>
      </c>
      <c r="C142" s="23"/>
      <c r="D142" s="23" t="s">
        <v>29</v>
      </c>
      <c r="E142" s="23"/>
      <c r="F142" s="23">
        <v>15.1</v>
      </c>
    </row>
    <row r="143" spans="1:6">
      <c r="A143" s="4"/>
      <c r="B143" s="30" t="s">
        <v>23</v>
      </c>
      <c r="C143" s="23"/>
      <c r="D143" s="23"/>
      <c r="E143" s="23"/>
      <c r="F143" s="262" t="s">
        <v>30</v>
      </c>
    </row>
    <row r="144" spans="1:6">
      <c r="A144" s="4"/>
      <c r="C144" s="23"/>
      <c r="D144" s="23"/>
      <c r="E144" s="23"/>
      <c r="F144" s="23" t="e">
        <f>SUM(F139:F143)</f>
        <v>#REF!</v>
      </c>
    </row>
    <row r="145" spans="1:6">
      <c r="A145" s="4"/>
      <c r="B145" s="13" t="s">
        <v>493</v>
      </c>
      <c r="C145" s="38"/>
      <c r="D145" s="38"/>
      <c r="E145" s="38"/>
      <c r="F145" s="35" t="e">
        <f>F144*0.01</f>
        <v>#REF!</v>
      </c>
    </row>
    <row r="146" spans="1:6">
      <c r="A146" s="4"/>
      <c r="B146" s="13" t="s">
        <v>117</v>
      </c>
      <c r="C146" s="38"/>
      <c r="D146" s="38"/>
      <c r="E146" s="38"/>
      <c r="F146" s="35" t="e">
        <f>SUM(F144:F145)</f>
        <v>#REF!</v>
      </c>
    </row>
    <row r="147" spans="1:6">
      <c r="A147" s="4"/>
      <c r="B147" s="28"/>
      <c r="C147" s="28"/>
      <c r="D147" s="28"/>
      <c r="E147" s="12" t="s">
        <v>120</v>
      </c>
      <c r="F147" s="26" t="e">
        <f>ROUND(F146,1)</f>
        <v>#REF!</v>
      </c>
    </row>
    <row r="148" spans="1:6" ht="63.75">
      <c r="A148" s="6">
        <v>4</v>
      </c>
      <c r="B148" s="3" t="s">
        <v>63</v>
      </c>
      <c r="C148" s="23"/>
      <c r="D148" s="23"/>
      <c r="E148" s="23"/>
      <c r="F148" s="23"/>
    </row>
    <row r="149" spans="1:6">
      <c r="A149" s="4"/>
      <c r="B149" s="30" t="s">
        <v>52</v>
      </c>
      <c r="C149" s="23"/>
      <c r="D149" s="23"/>
      <c r="E149" s="23"/>
      <c r="F149" s="23"/>
    </row>
    <row r="150" spans="1:6">
      <c r="A150" s="4"/>
      <c r="B150" s="30" t="s">
        <v>28</v>
      </c>
      <c r="C150" s="23"/>
      <c r="D150" s="23"/>
      <c r="E150" s="23"/>
      <c r="F150" s="23"/>
    </row>
    <row r="151" spans="1:6">
      <c r="A151" s="4"/>
      <c r="B151" s="30" t="s">
        <v>197</v>
      </c>
      <c r="C151" s="23">
        <v>4</v>
      </c>
      <c r="D151" s="23" t="s">
        <v>64</v>
      </c>
      <c r="E151" s="23">
        <v>2</v>
      </c>
      <c r="F151" s="23">
        <f>C151*E151</f>
        <v>8</v>
      </c>
    </row>
    <row r="152" spans="1:6">
      <c r="A152" s="4"/>
      <c r="B152" s="30" t="s">
        <v>198</v>
      </c>
      <c r="C152" s="23">
        <v>4</v>
      </c>
      <c r="D152" s="23" t="s">
        <v>64</v>
      </c>
      <c r="E152" s="23">
        <v>1</v>
      </c>
      <c r="F152" s="23">
        <f>C152*E152</f>
        <v>4</v>
      </c>
    </row>
    <row r="153" spans="1:6">
      <c r="A153" s="4"/>
      <c r="B153" s="30" t="s">
        <v>716</v>
      </c>
      <c r="C153" s="23">
        <v>1</v>
      </c>
      <c r="D153" s="23" t="s">
        <v>64</v>
      </c>
      <c r="E153" s="23">
        <v>10</v>
      </c>
      <c r="F153" s="23">
        <f>C153*E153</f>
        <v>10</v>
      </c>
    </row>
    <row r="154" spans="1:6">
      <c r="A154" s="4"/>
      <c r="B154" s="30" t="s">
        <v>199</v>
      </c>
      <c r="C154" s="23">
        <v>4</v>
      </c>
      <c r="D154" s="23" t="s">
        <v>64</v>
      </c>
      <c r="E154" s="23">
        <v>1</v>
      </c>
      <c r="F154" s="23">
        <f>C154*E154</f>
        <v>4</v>
      </c>
    </row>
    <row r="155" spans="1:6">
      <c r="A155" s="4"/>
      <c r="B155" s="30" t="s">
        <v>200</v>
      </c>
      <c r="C155" s="23"/>
      <c r="D155" s="23" t="s">
        <v>29</v>
      </c>
      <c r="E155" s="23"/>
      <c r="F155" s="23">
        <v>3.3</v>
      </c>
    </row>
    <row r="156" spans="1:6">
      <c r="A156" s="4"/>
      <c r="B156" s="30" t="s">
        <v>346</v>
      </c>
      <c r="C156" s="23"/>
      <c r="D156" s="23"/>
      <c r="E156" s="23"/>
      <c r="F156" s="23"/>
    </row>
    <row r="157" spans="1:6">
      <c r="A157" s="4"/>
      <c r="B157" s="30" t="s">
        <v>201</v>
      </c>
      <c r="C157" s="23">
        <v>0.33</v>
      </c>
      <c r="D157" s="23" t="s">
        <v>24</v>
      </c>
      <c r="E157" s="23" t="e">
        <f>Lead!#REF!</f>
        <v>#REF!</v>
      </c>
      <c r="F157" s="23" t="e">
        <f>C157*E157</f>
        <v>#REF!</v>
      </c>
    </row>
    <row r="158" spans="1:6">
      <c r="A158" s="4"/>
      <c r="B158" s="30" t="s">
        <v>202</v>
      </c>
      <c r="C158" s="23">
        <v>0.33</v>
      </c>
      <c r="D158" s="23" t="s">
        <v>24</v>
      </c>
      <c r="E158" s="23" t="e">
        <f>Lead!#REF!</f>
        <v>#REF!</v>
      </c>
      <c r="F158" s="23" t="e">
        <f>C158*E158</f>
        <v>#REF!</v>
      </c>
    </row>
    <row r="159" spans="1:6">
      <c r="A159" s="4"/>
      <c r="B159" s="30" t="s">
        <v>698</v>
      </c>
      <c r="C159" s="23"/>
      <c r="D159" s="23"/>
      <c r="E159" s="23"/>
      <c r="F159" s="23" t="e">
        <f>0.15*(F157+F158)</f>
        <v>#REF!</v>
      </c>
    </row>
    <row r="160" spans="1:6">
      <c r="A160" s="4"/>
      <c r="B160" s="30" t="s">
        <v>194</v>
      </c>
      <c r="C160" s="23"/>
      <c r="D160" s="23"/>
      <c r="E160" s="23"/>
      <c r="F160" s="23" t="e">
        <f>0.01*(F157+F158)</f>
        <v>#REF!</v>
      </c>
    </row>
    <row r="161" spans="1:6" s="260" customFormat="1">
      <c r="A161" s="276"/>
      <c r="B161" s="257" t="s">
        <v>717</v>
      </c>
      <c r="C161" s="259">
        <v>1</v>
      </c>
      <c r="D161" s="259" t="s">
        <v>62</v>
      </c>
      <c r="E161" s="259">
        <v>1650</v>
      </c>
      <c r="F161" s="259">
        <f>C161*E161</f>
        <v>1650</v>
      </c>
    </row>
    <row r="162" spans="1:6">
      <c r="A162" s="4"/>
      <c r="C162" s="23"/>
      <c r="D162" s="23"/>
      <c r="E162" s="23"/>
      <c r="F162" s="262" t="s">
        <v>718</v>
      </c>
    </row>
    <row r="163" spans="1:6">
      <c r="A163" s="4"/>
      <c r="C163" s="23"/>
      <c r="D163" s="23"/>
      <c r="E163" s="23"/>
      <c r="F163" s="23" t="e">
        <f>SUM(F151:F161)</f>
        <v>#REF!</v>
      </c>
    </row>
    <row r="164" spans="1:6">
      <c r="A164" s="4"/>
      <c r="B164" s="13" t="s">
        <v>493</v>
      </c>
      <c r="C164" s="38"/>
      <c r="D164" s="38"/>
      <c r="E164" s="38"/>
      <c r="F164" s="35" t="e">
        <f>F163*0.01</f>
        <v>#REF!</v>
      </c>
    </row>
    <row r="165" spans="1:6">
      <c r="A165" s="4"/>
      <c r="B165" s="13" t="s">
        <v>117</v>
      </c>
      <c r="C165" s="38"/>
      <c r="D165" s="38"/>
      <c r="E165" s="38"/>
      <c r="F165" s="35" t="e">
        <f>SUM(F163:F164)</f>
        <v>#REF!</v>
      </c>
    </row>
    <row r="166" spans="1:6">
      <c r="A166" s="4"/>
      <c r="B166" s="28"/>
      <c r="C166" s="28"/>
      <c r="D166" s="28"/>
      <c r="E166" s="12" t="s">
        <v>120</v>
      </c>
      <c r="F166" s="26" t="e">
        <f>ROUND(F165,1)</f>
        <v>#REF!</v>
      </c>
    </row>
    <row r="167" spans="1:6" ht="51">
      <c r="A167" s="6">
        <v>5</v>
      </c>
      <c r="B167" s="3" t="s">
        <v>719</v>
      </c>
      <c r="C167" s="23"/>
      <c r="D167" s="23"/>
      <c r="E167" s="23"/>
      <c r="F167" s="23"/>
    </row>
    <row r="168" spans="1:6">
      <c r="A168" s="4"/>
      <c r="B168" s="30" t="s">
        <v>52</v>
      </c>
      <c r="C168" s="23"/>
      <c r="D168" s="23"/>
      <c r="E168" s="23"/>
      <c r="F168" s="23"/>
    </row>
    <row r="169" spans="1:6">
      <c r="A169" s="4"/>
      <c r="B169" s="30" t="s">
        <v>28</v>
      </c>
      <c r="C169" s="23"/>
      <c r="D169" s="23"/>
      <c r="E169" s="23"/>
      <c r="F169" s="23"/>
    </row>
    <row r="170" spans="1:6">
      <c r="A170" s="4"/>
      <c r="B170" s="30" t="s">
        <v>197</v>
      </c>
      <c r="C170" s="23">
        <v>4</v>
      </c>
      <c r="D170" s="23" t="s">
        <v>64</v>
      </c>
      <c r="E170" s="23">
        <v>2</v>
      </c>
      <c r="F170" s="23">
        <f>C170*E170</f>
        <v>8</v>
      </c>
    </row>
    <row r="171" spans="1:6">
      <c r="A171" s="4"/>
      <c r="B171" s="30" t="s">
        <v>203</v>
      </c>
      <c r="C171" s="23">
        <v>2</v>
      </c>
      <c r="D171" s="23" t="s">
        <v>64</v>
      </c>
      <c r="E171" s="23">
        <v>1</v>
      </c>
      <c r="F171" s="23">
        <f>C171*E171</f>
        <v>2</v>
      </c>
    </row>
    <row r="172" spans="1:6">
      <c r="A172" s="4"/>
      <c r="B172" s="30" t="s">
        <v>200</v>
      </c>
      <c r="C172" s="23"/>
      <c r="D172" s="23" t="s">
        <v>29</v>
      </c>
      <c r="E172" s="23"/>
      <c r="F172" s="23">
        <v>2.2000000000000002</v>
      </c>
    </row>
    <row r="173" spans="1:6">
      <c r="A173" s="4"/>
      <c r="B173" s="30" t="s">
        <v>346</v>
      </c>
      <c r="C173" s="23"/>
      <c r="D173" s="23"/>
      <c r="E173" s="23"/>
      <c r="F173" s="23"/>
    </row>
    <row r="174" spans="1:6">
      <c r="A174" s="4"/>
      <c r="B174" s="30" t="s">
        <v>204</v>
      </c>
      <c r="C174" s="23">
        <v>0.25</v>
      </c>
      <c r="D174" s="23" t="s">
        <v>24</v>
      </c>
      <c r="E174" s="23" t="e">
        <f>Lead!#REF!</f>
        <v>#REF!</v>
      </c>
      <c r="F174" s="23" t="e">
        <f>C174*E174</f>
        <v>#REF!</v>
      </c>
    </row>
    <row r="175" spans="1:6">
      <c r="A175" s="4"/>
      <c r="B175" s="30" t="s">
        <v>205</v>
      </c>
      <c r="C175" s="23">
        <v>0.25</v>
      </c>
      <c r="D175" s="23" t="s">
        <v>24</v>
      </c>
      <c r="E175" s="23" t="e">
        <f>Lead!#REF!</f>
        <v>#REF!</v>
      </c>
      <c r="F175" s="23" t="e">
        <f>C175*E175</f>
        <v>#REF!</v>
      </c>
    </row>
    <row r="176" spans="1:6">
      <c r="A176" s="4"/>
      <c r="B176" s="30" t="s">
        <v>720</v>
      </c>
      <c r="C176" s="23"/>
      <c r="D176" s="23"/>
      <c r="E176" s="23"/>
      <c r="F176" s="23" t="e">
        <f>0.15*(F174+F175)</f>
        <v>#REF!</v>
      </c>
    </row>
    <row r="177" spans="1:6">
      <c r="A177" s="4"/>
      <c r="B177" s="30" t="s">
        <v>194</v>
      </c>
      <c r="C177" s="23"/>
      <c r="D177" s="23"/>
      <c r="E177" s="23"/>
      <c r="F177" s="23" t="e">
        <f>0.01*(F174+F175)</f>
        <v>#REF!</v>
      </c>
    </row>
    <row r="178" spans="1:6" s="260" customFormat="1">
      <c r="A178" s="276"/>
      <c r="B178" s="261" t="s">
        <v>721</v>
      </c>
      <c r="C178" s="259">
        <v>1</v>
      </c>
      <c r="D178" s="259" t="s">
        <v>56</v>
      </c>
      <c r="E178" s="259">
        <v>1100</v>
      </c>
      <c r="F178" s="259">
        <f>C178*E178</f>
        <v>1100</v>
      </c>
    </row>
    <row r="179" spans="1:6">
      <c r="A179" s="4"/>
      <c r="C179" s="23"/>
      <c r="D179" s="23"/>
      <c r="E179" s="23"/>
      <c r="F179" s="262" t="s">
        <v>30</v>
      </c>
    </row>
    <row r="180" spans="1:6">
      <c r="A180" s="4"/>
      <c r="C180" s="23"/>
      <c r="D180" s="23"/>
      <c r="E180" s="23"/>
      <c r="F180" s="23" t="e">
        <f>SUM(F170:F178)</f>
        <v>#REF!</v>
      </c>
    </row>
    <row r="181" spans="1:6">
      <c r="A181" s="4"/>
      <c r="B181" s="13" t="s">
        <v>493</v>
      </c>
      <c r="C181" s="38"/>
      <c r="D181" s="38"/>
      <c r="E181" s="38"/>
      <c r="F181" s="35" t="e">
        <f>F180*0.01</f>
        <v>#REF!</v>
      </c>
    </row>
    <row r="182" spans="1:6">
      <c r="A182" s="4"/>
      <c r="B182" s="13" t="s">
        <v>117</v>
      </c>
      <c r="C182" s="38"/>
      <c r="D182" s="38"/>
      <c r="E182" s="38"/>
      <c r="F182" s="35" t="e">
        <f>SUM(F180:F181)</f>
        <v>#REF!</v>
      </c>
    </row>
    <row r="183" spans="1:6">
      <c r="A183" s="4"/>
      <c r="B183" s="28"/>
      <c r="C183" s="28"/>
      <c r="D183" s="28"/>
      <c r="E183" s="12" t="s">
        <v>120</v>
      </c>
      <c r="F183" s="26" t="e">
        <f>ROUND(F182,1)</f>
        <v>#REF!</v>
      </c>
    </row>
    <row r="184" spans="1:6" ht="51">
      <c r="A184" s="6">
        <v>6</v>
      </c>
      <c r="B184" s="3" t="s">
        <v>722</v>
      </c>
      <c r="C184" s="23"/>
      <c r="D184" s="23"/>
      <c r="E184" s="23"/>
      <c r="F184" s="23"/>
    </row>
    <row r="185" spans="1:6" s="260" customFormat="1" ht="25.5">
      <c r="A185" s="276"/>
      <c r="B185" s="257" t="s">
        <v>899</v>
      </c>
      <c r="C185" s="259">
        <v>1</v>
      </c>
      <c r="D185" s="259" t="s">
        <v>56</v>
      </c>
      <c r="E185" s="259">
        <v>1600</v>
      </c>
      <c r="F185" s="259">
        <f>C185*E185</f>
        <v>1600</v>
      </c>
    </row>
    <row r="186" spans="1:6">
      <c r="A186" s="4"/>
      <c r="B186" s="30" t="s">
        <v>28</v>
      </c>
      <c r="C186" s="23"/>
      <c r="D186" s="23"/>
      <c r="E186" s="23"/>
      <c r="F186" s="23"/>
    </row>
    <row r="187" spans="1:6">
      <c r="A187" s="4"/>
      <c r="B187" s="30" t="s">
        <v>197</v>
      </c>
      <c r="C187" s="23">
        <v>4</v>
      </c>
      <c r="D187" s="23" t="s">
        <v>64</v>
      </c>
      <c r="E187" s="23">
        <v>2</v>
      </c>
      <c r="F187" s="23">
        <f>C187*E187</f>
        <v>8</v>
      </c>
    </row>
    <row r="188" spans="1:6">
      <c r="A188" s="4"/>
      <c r="B188" s="30" t="s">
        <v>203</v>
      </c>
      <c r="C188" s="23">
        <v>2</v>
      </c>
      <c r="D188" s="23" t="s">
        <v>64</v>
      </c>
      <c r="E188" s="23">
        <v>1</v>
      </c>
      <c r="F188" s="23">
        <f>C188*E188</f>
        <v>2</v>
      </c>
    </row>
    <row r="189" spans="1:6">
      <c r="A189" s="4"/>
      <c r="B189" s="30" t="s">
        <v>200</v>
      </c>
      <c r="C189" s="23"/>
      <c r="D189" s="23" t="s">
        <v>29</v>
      </c>
      <c r="E189" s="23"/>
      <c r="F189" s="23">
        <v>2.2000000000000002</v>
      </c>
    </row>
    <row r="190" spans="1:6">
      <c r="A190" s="4"/>
      <c r="B190" s="30" t="s">
        <v>346</v>
      </c>
      <c r="C190" s="23"/>
      <c r="D190" s="23"/>
      <c r="E190" s="23"/>
      <c r="F190" s="23"/>
    </row>
    <row r="191" spans="1:6">
      <c r="A191" s="4"/>
      <c r="B191" s="30" t="s">
        <v>206</v>
      </c>
      <c r="C191" s="23">
        <v>0.17</v>
      </c>
      <c r="D191" s="23" t="s">
        <v>24</v>
      </c>
      <c r="E191" s="23" t="e">
        <f>Lead!#REF!</f>
        <v>#REF!</v>
      </c>
      <c r="F191" s="23" t="e">
        <f>C191*E191</f>
        <v>#REF!</v>
      </c>
    </row>
    <row r="192" spans="1:6">
      <c r="A192" s="4"/>
      <c r="B192" s="30" t="s">
        <v>207</v>
      </c>
      <c r="C192" s="23">
        <v>0.17</v>
      </c>
      <c r="D192" s="23" t="s">
        <v>24</v>
      </c>
      <c r="E192" s="23" t="e">
        <f>Lead!#REF!</f>
        <v>#REF!</v>
      </c>
      <c r="F192" s="23" t="e">
        <f>C192*E192</f>
        <v>#REF!</v>
      </c>
    </row>
    <row r="193" spans="1:6">
      <c r="A193" s="4"/>
      <c r="B193" s="30" t="s">
        <v>698</v>
      </c>
      <c r="C193" s="23"/>
      <c r="D193" s="23"/>
      <c r="E193" s="23"/>
      <c r="F193" s="23" t="e">
        <f>0.15*(F191+F192)</f>
        <v>#REF!</v>
      </c>
    </row>
    <row r="194" spans="1:6">
      <c r="A194" s="4"/>
      <c r="B194" s="30" t="s">
        <v>194</v>
      </c>
      <c r="C194" s="23"/>
      <c r="D194" s="23"/>
      <c r="E194" s="23"/>
      <c r="F194" s="23" t="e">
        <f>0.01*(F191+F192)</f>
        <v>#REF!</v>
      </c>
    </row>
    <row r="195" spans="1:6">
      <c r="A195" s="4"/>
      <c r="C195" s="23"/>
      <c r="D195" s="23"/>
      <c r="E195" s="23"/>
      <c r="F195" s="262" t="s">
        <v>30</v>
      </c>
    </row>
    <row r="196" spans="1:6">
      <c r="A196" s="4"/>
      <c r="B196" s="30" t="s">
        <v>723</v>
      </c>
      <c r="C196" s="23"/>
      <c r="D196" s="23"/>
      <c r="E196" s="23"/>
      <c r="F196" s="23" t="e">
        <f>SUM(F185:F194)</f>
        <v>#REF!</v>
      </c>
    </row>
    <row r="197" spans="1:6">
      <c r="A197" s="4"/>
      <c r="B197" s="13" t="s">
        <v>493</v>
      </c>
      <c r="C197" s="38"/>
      <c r="D197" s="38"/>
      <c r="E197" s="38"/>
      <c r="F197" s="35" t="e">
        <f>F196*0.01</f>
        <v>#REF!</v>
      </c>
    </row>
    <row r="198" spans="1:6">
      <c r="A198" s="4"/>
      <c r="B198" s="13" t="s">
        <v>117</v>
      </c>
      <c r="C198" s="38"/>
      <c r="D198" s="38"/>
      <c r="E198" s="38"/>
      <c r="F198" s="35" t="e">
        <f>SUM(F196:F197)</f>
        <v>#REF!</v>
      </c>
    </row>
    <row r="199" spans="1:6">
      <c r="A199" s="4"/>
      <c r="B199" s="28"/>
      <c r="C199" s="28"/>
      <c r="D199" s="28"/>
      <c r="E199" s="12" t="s">
        <v>120</v>
      </c>
      <c r="F199" s="26" t="e">
        <f>ROUND(F198,1)</f>
        <v>#REF!</v>
      </c>
    </row>
    <row r="200" spans="1:6" ht="51">
      <c r="A200" s="6">
        <v>7</v>
      </c>
      <c r="B200" s="3" t="s">
        <v>724</v>
      </c>
      <c r="C200" s="23"/>
      <c r="D200" s="23"/>
      <c r="E200" s="23"/>
      <c r="F200" s="23"/>
    </row>
    <row r="201" spans="1:6" s="260" customFormat="1">
      <c r="A201" s="276"/>
      <c r="B201" s="257" t="s">
        <v>725</v>
      </c>
      <c r="C201" s="259">
        <v>1</v>
      </c>
      <c r="D201" s="259" t="s">
        <v>56</v>
      </c>
      <c r="E201" s="259">
        <v>450</v>
      </c>
      <c r="F201" s="259">
        <f>C201*E201</f>
        <v>450</v>
      </c>
    </row>
    <row r="202" spans="1:6">
      <c r="A202" s="4"/>
      <c r="B202" s="30" t="s">
        <v>28</v>
      </c>
      <c r="C202" s="23"/>
      <c r="D202" s="23"/>
      <c r="E202" s="23"/>
      <c r="F202" s="23"/>
    </row>
    <row r="203" spans="1:6">
      <c r="A203" s="4"/>
      <c r="B203" s="30" t="s">
        <v>197</v>
      </c>
      <c r="C203" s="23">
        <v>4</v>
      </c>
      <c r="D203" s="23" t="s">
        <v>64</v>
      </c>
      <c r="E203" s="23">
        <v>2</v>
      </c>
      <c r="F203" s="23">
        <f>C203*E203</f>
        <v>8</v>
      </c>
    </row>
    <row r="204" spans="1:6">
      <c r="A204" s="4"/>
      <c r="B204" s="30" t="s">
        <v>203</v>
      </c>
      <c r="C204" s="23">
        <v>2</v>
      </c>
      <c r="D204" s="23" t="s">
        <v>64</v>
      </c>
      <c r="E204" s="23">
        <v>1</v>
      </c>
      <c r="F204" s="23">
        <f>C204*E204</f>
        <v>2</v>
      </c>
    </row>
    <row r="205" spans="1:6">
      <c r="A205" s="4"/>
      <c r="B205" s="30" t="s">
        <v>200</v>
      </c>
      <c r="C205" s="23"/>
      <c r="D205" s="23" t="s">
        <v>29</v>
      </c>
      <c r="E205" s="23"/>
      <c r="F205" s="23">
        <v>2.2000000000000002</v>
      </c>
    </row>
    <row r="206" spans="1:6">
      <c r="A206" s="4"/>
      <c r="B206" s="30" t="s">
        <v>346</v>
      </c>
      <c r="C206" s="23"/>
      <c r="D206" s="23"/>
      <c r="E206" s="23"/>
      <c r="F206" s="23"/>
    </row>
    <row r="207" spans="1:6">
      <c r="A207" s="4"/>
      <c r="B207" s="30" t="s">
        <v>206</v>
      </c>
      <c r="C207" s="23">
        <v>0.17</v>
      </c>
      <c r="D207" s="23" t="s">
        <v>24</v>
      </c>
      <c r="E207" s="23" t="e">
        <f>Lead!#REF!</f>
        <v>#REF!</v>
      </c>
      <c r="F207" s="23" t="e">
        <f>C207*E207</f>
        <v>#REF!</v>
      </c>
    </row>
    <row r="208" spans="1:6">
      <c r="A208" s="4"/>
      <c r="B208" s="30" t="s">
        <v>207</v>
      </c>
      <c r="C208" s="23">
        <v>0.17</v>
      </c>
      <c r="D208" s="23" t="s">
        <v>24</v>
      </c>
      <c r="E208" s="23" t="e">
        <f>Lead!#REF!</f>
        <v>#REF!</v>
      </c>
      <c r="F208" s="23" t="e">
        <f>C208*E208</f>
        <v>#REF!</v>
      </c>
    </row>
    <row r="209" spans="1:6">
      <c r="A209" s="4"/>
      <c r="B209" s="30" t="s">
        <v>698</v>
      </c>
      <c r="C209" s="23"/>
      <c r="D209" s="23"/>
      <c r="E209" s="23"/>
      <c r="F209" s="23" t="e">
        <f>0.15*(F207+F208)</f>
        <v>#REF!</v>
      </c>
    </row>
    <row r="210" spans="1:6">
      <c r="A210" s="4"/>
      <c r="B210" s="30" t="s">
        <v>194</v>
      </c>
      <c r="C210" s="23"/>
      <c r="D210" s="23"/>
      <c r="E210" s="23"/>
      <c r="F210" s="23" t="e">
        <f>0.01*(F207+F208)</f>
        <v>#REF!</v>
      </c>
    </row>
    <row r="211" spans="1:6">
      <c r="A211" s="4"/>
      <c r="C211" s="23"/>
      <c r="D211" s="23"/>
      <c r="E211" s="23"/>
      <c r="F211" s="262" t="s">
        <v>30</v>
      </c>
    </row>
    <row r="212" spans="1:6">
      <c r="A212" s="4"/>
      <c r="B212" s="30" t="s">
        <v>723</v>
      </c>
      <c r="C212" s="23"/>
      <c r="D212" s="23"/>
      <c r="E212" s="23"/>
      <c r="F212" s="23" t="e">
        <f>SUM(F201:F210)</f>
        <v>#REF!</v>
      </c>
    </row>
    <row r="213" spans="1:6">
      <c r="A213" s="4"/>
      <c r="B213" s="13" t="s">
        <v>493</v>
      </c>
      <c r="C213" s="38"/>
      <c r="D213" s="38"/>
      <c r="E213" s="38"/>
      <c r="F213" s="35" t="e">
        <f>F212*0.01</f>
        <v>#REF!</v>
      </c>
    </row>
    <row r="214" spans="1:6">
      <c r="A214" s="4"/>
      <c r="B214" s="13" t="s">
        <v>117</v>
      </c>
      <c r="C214" s="38"/>
      <c r="D214" s="38"/>
      <c r="E214" s="38"/>
      <c r="F214" s="35" t="e">
        <f>SUM(F212:F213)</f>
        <v>#REF!</v>
      </c>
    </row>
    <row r="215" spans="1:6">
      <c r="A215" s="4"/>
      <c r="B215" s="28"/>
      <c r="C215" s="28"/>
      <c r="D215" s="28"/>
      <c r="E215" s="12" t="s">
        <v>120</v>
      </c>
      <c r="F215" s="26" t="e">
        <f>ROUND(F214,1)</f>
        <v>#REF!</v>
      </c>
    </row>
    <row r="216" spans="1:6" ht="51">
      <c r="A216" s="6">
        <v>8</v>
      </c>
      <c r="B216" s="3" t="s">
        <v>237</v>
      </c>
      <c r="C216" s="16"/>
      <c r="D216" s="16"/>
      <c r="F216" s="16"/>
    </row>
    <row r="217" spans="1:6">
      <c r="A217" s="4"/>
      <c r="B217" s="30" t="s">
        <v>52</v>
      </c>
      <c r="C217" s="16"/>
      <c r="D217" s="16"/>
      <c r="F217" s="16"/>
    </row>
    <row r="218" spans="1:6">
      <c r="A218" s="4"/>
      <c r="B218" s="30" t="s">
        <v>28</v>
      </c>
      <c r="C218" s="16"/>
      <c r="D218" s="16"/>
      <c r="F218" s="16"/>
    </row>
    <row r="219" spans="1:6" s="260" customFormat="1">
      <c r="A219" s="276"/>
      <c r="B219" s="257" t="s">
        <v>726</v>
      </c>
      <c r="C219" s="277">
        <v>1</v>
      </c>
      <c r="D219" s="277" t="s">
        <v>64</v>
      </c>
      <c r="E219" s="277">
        <v>525</v>
      </c>
      <c r="F219" s="259">
        <f>C219*E219</f>
        <v>525</v>
      </c>
    </row>
    <row r="220" spans="1:6">
      <c r="A220" s="4"/>
      <c r="B220" s="30" t="s">
        <v>197</v>
      </c>
      <c r="C220" s="23">
        <v>2</v>
      </c>
      <c r="D220" s="23" t="s">
        <v>64</v>
      </c>
      <c r="E220" s="23">
        <v>2</v>
      </c>
      <c r="F220" s="23">
        <f>C220*E220</f>
        <v>4</v>
      </c>
    </row>
    <row r="221" spans="1:6">
      <c r="A221" s="4"/>
      <c r="B221" s="30" t="s">
        <v>203</v>
      </c>
      <c r="C221" s="23">
        <v>2</v>
      </c>
      <c r="D221" s="23" t="s">
        <v>64</v>
      </c>
      <c r="E221" s="23">
        <v>1</v>
      </c>
      <c r="F221" s="23">
        <f>C221*E221</f>
        <v>2</v>
      </c>
    </row>
    <row r="222" spans="1:6">
      <c r="A222" s="4"/>
      <c r="B222" s="30" t="s">
        <v>200</v>
      </c>
      <c r="C222" s="23"/>
      <c r="D222" s="23" t="s">
        <v>29</v>
      </c>
      <c r="E222" s="23"/>
      <c r="F222" s="23">
        <v>1.1000000000000001</v>
      </c>
    </row>
    <row r="223" spans="1:6">
      <c r="A223" s="4"/>
      <c r="B223" s="30" t="s">
        <v>346</v>
      </c>
      <c r="C223" s="16"/>
      <c r="D223" s="16"/>
      <c r="F223" s="16"/>
    </row>
    <row r="224" spans="1:6">
      <c r="A224" s="4"/>
      <c r="B224" s="30" t="s">
        <v>206</v>
      </c>
      <c r="C224" s="23">
        <v>0.12</v>
      </c>
      <c r="D224" s="23" t="s">
        <v>24</v>
      </c>
      <c r="E224" s="23" t="e">
        <f>Lead!#REF!</f>
        <v>#REF!</v>
      </c>
      <c r="F224" s="23" t="e">
        <f>C224*E224</f>
        <v>#REF!</v>
      </c>
    </row>
    <row r="225" spans="1:6">
      <c r="A225" s="4"/>
      <c r="B225" s="30" t="s">
        <v>207</v>
      </c>
      <c r="C225" s="23">
        <v>0.12</v>
      </c>
      <c r="D225" s="23" t="s">
        <v>24</v>
      </c>
      <c r="E225" s="23" t="e">
        <f>Lead!#REF!</f>
        <v>#REF!</v>
      </c>
      <c r="F225" s="23" t="e">
        <f>C225*E225</f>
        <v>#REF!</v>
      </c>
    </row>
    <row r="226" spans="1:6">
      <c r="A226" s="4"/>
      <c r="B226" s="30" t="s">
        <v>698</v>
      </c>
      <c r="C226" s="23"/>
      <c r="D226" s="23"/>
      <c r="E226" s="23"/>
      <c r="F226" s="23" t="e">
        <f>0.15*(F224+F225)</f>
        <v>#REF!</v>
      </c>
    </row>
    <row r="227" spans="1:6">
      <c r="A227" s="4"/>
      <c r="B227" s="30" t="s">
        <v>194</v>
      </c>
      <c r="C227" s="23"/>
      <c r="D227" s="23"/>
      <c r="E227" s="23"/>
      <c r="F227" s="23" t="e">
        <f>0.01*(F224+F225)</f>
        <v>#REF!</v>
      </c>
    </row>
    <row r="228" spans="1:6">
      <c r="A228" s="4"/>
      <c r="C228" s="23"/>
      <c r="D228" s="23"/>
      <c r="E228" s="23"/>
      <c r="F228" s="262" t="s">
        <v>30</v>
      </c>
    </row>
    <row r="229" spans="1:6">
      <c r="A229" s="4"/>
      <c r="B229" s="30" t="s">
        <v>723</v>
      </c>
      <c r="C229" s="23"/>
      <c r="D229" s="23"/>
      <c r="E229" s="23"/>
      <c r="F229" s="23" t="e">
        <f>SUM(F217:F227)</f>
        <v>#REF!</v>
      </c>
    </row>
    <row r="230" spans="1:6">
      <c r="A230" s="4"/>
      <c r="B230" s="13" t="s">
        <v>493</v>
      </c>
      <c r="C230" s="38"/>
      <c r="D230" s="38"/>
      <c r="E230" s="38"/>
      <c r="F230" s="35" t="e">
        <f>F229*0.01</f>
        <v>#REF!</v>
      </c>
    </row>
    <row r="231" spans="1:6">
      <c r="A231" s="4"/>
      <c r="B231" s="13" t="s">
        <v>117</v>
      </c>
      <c r="C231" s="38"/>
      <c r="D231" s="38"/>
      <c r="E231" s="38"/>
      <c r="F231" s="35" t="e">
        <f>SUM(F229:F230)</f>
        <v>#REF!</v>
      </c>
    </row>
    <row r="232" spans="1:6">
      <c r="A232" s="4"/>
      <c r="B232" s="28"/>
      <c r="C232" s="28"/>
      <c r="D232" s="28"/>
      <c r="E232" s="12" t="s">
        <v>120</v>
      </c>
      <c r="F232" s="26" t="e">
        <f>ROUND(F231,1)</f>
        <v>#REF!</v>
      </c>
    </row>
    <row r="233" spans="1:6" ht="51" hidden="1">
      <c r="A233" s="6">
        <v>9</v>
      </c>
      <c r="B233" s="3" t="s">
        <v>727</v>
      </c>
      <c r="C233" s="16"/>
      <c r="D233" s="16"/>
      <c r="F233" s="16"/>
    </row>
    <row r="234" spans="1:6" hidden="1">
      <c r="A234" s="4"/>
      <c r="B234" s="30" t="s">
        <v>52</v>
      </c>
      <c r="C234" s="16"/>
      <c r="D234" s="16"/>
      <c r="F234" s="16"/>
    </row>
    <row r="235" spans="1:6" hidden="1">
      <c r="A235" s="4"/>
      <c r="B235" s="30" t="s">
        <v>28</v>
      </c>
      <c r="C235" s="16"/>
      <c r="D235" s="16"/>
      <c r="F235" s="16"/>
    </row>
    <row r="236" spans="1:6" s="260" customFormat="1" hidden="1">
      <c r="A236" s="276"/>
      <c r="B236" s="257" t="s">
        <v>728</v>
      </c>
      <c r="C236" s="277">
        <v>1</v>
      </c>
      <c r="D236" s="277" t="s">
        <v>64</v>
      </c>
      <c r="E236" s="277">
        <v>1150</v>
      </c>
      <c r="F236" s="259">
        <f>C236*E236</f>
        <v>1150</v>
      </c>
    </row>
    <row r="237" spans="1:6" hidden="1">
      <c r="A237" s="4"/>
      <c r="B237" s="30" t="s">
        <v>197</v>
      </c>
      <c r="C237" s="23">
        <v>2</v>
      </c>
      <c r="D237" s="23" t="s">
        <v>64</v>
      </c>
      <c r="E237" s="23">
        <v>2</v>
      </c>
      <c r="F237" s="23">
        <f>C237*E237</f>
        <v>4</v>
      </c>
    </row>
    <row r="238" spans="1:6" hidden="1">
      <c r="A238" s="4"/>
      <c r="B238" s="30" t="s">
        <v>203</v>
      </c>
      <c r="C238" s="23">
        <v>2</v>
      </c>
      <c r="D238" s="23" t="s">
        <v>64</v>
      </c>
      <c r="E238" s="23">
        <v>1</v>
      </c>
      <c r="F238" s="23">
        <f>C238*E238</f>
        <v>2</v>
      </c>
    </row>
    <row r="239" spans="1:6" hidden="1">
      <c r="A239" s="4"/>
      <c r="B239" s="30" t="s">
        <v>200</v>
      </c>
      <c r="C239" s="23"/>
      <c r="D239" s="23" t="s">
        <v>29</v>
      </c>
      <c r="E239" s="23"/>
      <c r="F239" s="23">
        <v>1.1000000000000001</v>
      </c>
    </row>
    <row r="240" spans="1:6" hidden="1">
      <c r="A240" s="4"/>
      <c r="B240" s="30" t="s">
        <v>346</v>
      </c>
      <c r="C240" s="16"/>
      <c r="D240" s="16"/>
      <c r="F240" s="16"/>
    </row>
    <row r="241" spans="1:6" hidden="1">
      <c r="A241" s="4"/>
      <c r="B241" s="30" t="s">
        <v>206</v>
      </c>
      <c r="C241" s="23">
        <v>0.12</v>
      </c>
      <c r="D241" s="23" t="s">
        <v>24</v>
      </c>
      <c r="E241" s="23">
        <v>190</v>
      </c>
      <c r="F241" s="23">
        <f>C241*E241</f>
        <v>22.8</v>
      </c>
    </row>
    <row r="242" spans="1:6" hidden="1">
      <c r="A242" s="4"/>
      <c r="B242" s="30" t="s">
        <v>207</v>
      </c>
      <c r="C242" s="23">
        <v>0.12</v>
      </c>
      <c r="D242" s="23" t="s">
        <v>24</v>
      </c>
      <c r="E242" s="23">
        <v>150</v>
      </c>
      <c r="F242" s="23">
        <f>C242*E242</f>
        <v>18</v>
      </c>
    </row>
    <row r="243" spans="1:6" hidden="1">
      <c r="A243" s="4"/>
      <c r="B243" s="30" t="s">
        <v>676</v>
      </c>
      <c r="C243" s="23"/>
      <c r="D243" s="23"/>
      <c r="E243" s="23"/>
      <c r="F243" s="23">
        <f>0.125*(F241+F242)</f>
        <v>5.0999999999999996</v>
      </c>
    </row>
    <row r="244" spans="1:6" hidden="1">
      <c r="A244" s="4"/>
      <c r="B244" s="30" t="s">
        <v>194</v>
      </c>
      <c r="C244" s="23"/>
      <c r="D244" s="23"/>
      <c r="E244" s="23"/>
      <c r="F244" s="23">
        <f>0.01*(F241+F242)</f>
        <v>0.40799999999999997</v>
      </c>
    </row>
    <row r="245" spans="1:6" hidden="1">
      <c r="A245" s="4"/>
      <c r="B245" s="30" t="s">
        <v>662</v>
      </c>
      <c r="C245" s="23"/>
      <c r="D245" s="23"/>
      <c r="E245" s="23"/>
      <c r="F245" s="23">
        <f>0.08*(F241+F242)</f>
        <v>3.2639999999999998</v>
      </c>
    </row>
    <row r="246" spans="1:6" hidden="1">
      <c r="A246" s="4"/>
      <c r="C246" s="23"/>
      <c r="D246" s="23"/>
      <c r="E246" s="23"/>
      <c r="F246" s="262" t="s">
        <v>30</v>
      </c>
    </row>
    <row r="247" spans="1:6" hidden="1">
      <c r="A247" s="4"/>
      <c r="B247" s="30" t="s">
        <v>723</v>
      </c>
      <c r="C247" s="23"/>
      <c r="D247" s="23"/>
      <c r="E247" s="23"/>
      <c r="F247" s="23">
        <f>SUM(F234:F245)</f>
        <v>1206.6719999999996</v>
      </c>
    </row>
    <row r="248" spans="1:6" hidden="1">
      <c r="A248" s="4"/>
      <c r="B248" s="13" t="s">
        <v>493</v>
      </c>
      <c r="C248" s="38"/>
      <c r="D248" s="38"/>
      <c r="E248" s="38"/>
      <c r="F248" s="35">
        <f>F247*0.01</f>
        <v>12.066719999999997</v>
      </c>
    </row>
    <row r="249" spans="1:6" hidden="1">
      <c r="A249" s="4"/>
      <c r="B249" s="13" t="s">
        <v>117</v>
      </c>
      <c r="C249" s="38"/>
      <c r="D249" s="38"/>
      <c r="E249" s="38"/>
      <c r="F249" s="35">
        <f>SUM(F247:F248)</f>
        <v>1218.7387199999996</v>
      </c>
    </row>
    <row r="250" spans="1:6" hidden="1">
      <c r="A250" s="4"/>
      <c r="B250" s="28"/>
      <c r="C250" s="28"/>
      <c r="D250" s="28"/>
      <c r="E250" s="12" t="s">
        <v>120</v>
      </c>
      <c r="F250" s="26">
        <f>ROUND(F249,1)</f>
        <v>1218.7</v>
      </c>
    </row>
    <row r="251" spans="1:6" ht="63.75" hidden="1">
      <c r="A251" s="6">
        <v>12</v>
      </c>
      <c r="B251" s="3" t="s">
        <v>729</v>
      </c>
      <c r="C251" s="16"/>
      <c r="D251" s="16"/>
      <c r="F251" s="16"/>
    </row>
    <row r="252" spans="1:6" hidden="1">
      <c r="A252" s="4"/>
      <c r="B252" s="30" t="s">
        <v>52</v>
      </c>
      <c r="C252" s="16"/>
      <c r="D252" s="16"/>
      <c r="F252" s="16"/>
    </row>
    <row r="253" spans="1:6" hidden="1">
      <c r="A253" s="4"/>
      <c r="B253" s="30" t="s">
        <v>28</v>
      </c>
      <c r="C253" s="16"/>
      <c r="D253" s="16"/>
      <c r="F253" s="16"/>
    </row>
    <row r="254" spans="1:6" hidden="1">
      <c r="A254" s="4"/>
      <c r="B254" s="30" t="s">
        <v>346</v>
      </c>
      <c r="C254" s="16"/>
      <c r="D254" s="16"/>
      <c r="F254" s="16"/>
    </row>
    <row r="255" spans="1:6" hidden="1">
      <c r="A255" s="4"/>
      <c r="B255" s="30" t="s">
        <v>347</v>
      </c>
      <c r="C255" s="23">
        <v>7.0000000000000007E-2</v>
      </c>
      <c r="D255" s="23" t="s">
        <v>24</v>
      </c>
      <c r="E255" s="23">
        <v>205</v>
      </c>
      <c r="F255" s="23">
        <f>C255*E255</f>
        <v>14.350000000000001</v>
      </c>
    </row>
    <row r="256" spans="1:6" hidden="1">
      <c r="A256" s="4"/>
      <c r="B256" s="30" t="s">
        <v>273</v>
      </c>
      <c r="C256" s="23">
        <v>7.0000000000000007E-2</v>
      </c>
      <c r="D256" s="23" t="s">
        <v>24</v>
      </c>
      <c r="E256" s="23">
        <v>170</v>
      </c>
      <c r="F256" s="23">
        <f>C256*E256</f>
        <v>11.9</v>
      </c>
    </row>
    <row r="257" spans="1:6" hidden="1">
      <c r="A257" s="4"/>
      <c r="B257" s="30" t="s">
        <v>676</v>
      </c>
      <c r="C257" s="23"/>
      <c r="D257" s="23"/>
      <c r="E257" s="23"/>
      <c r="F257" s="23">
        <f>0.125*(F255+F256)</f>
        <v>3.28125</v>
      </c>
    </row>
    <row r="258" spans="1:6" hidden="1">
      <c r="A258" s="4"/>
      <c r="B258" s="30" t="s">
        <v>194</v>
      </c>
      <c r="C258" s="23"/>
      <c r="D258" s="23"/>
      <c r="E258" s="23"/>
      <c r="F258" s="23">
        <f>0.01*(F255+F256)</f>
        <v>0.26250000000000001</v>
      </c>
    </row>
    <row r="259" spans="1:6" hidden="1">
      <c r="A259" s="4"/>
      <c r="B259" s="30" t="s">
        <v>662</v>
      </c>
      <c r="C259" s="23"/>
      <c r="D259" s="23"/>
      <c r="E259" s="23"/>
      <c r="F259" s="23">
        <f>0.08*(F255+F256)</f>
        <v>2.1</v>
      </c>
    </row>
    <row r="260" spans="1:6" hidden="1">
      <c r="A260" s="4"/>
      <c r="C260" s="23"/>
      <c r="D260" s="23"/>
      <c r="E260" s="23"/>
      <c r="F260" s="262" t="s">
        <v>30</v>
      </c>
    </row>
    <row r="261" spans="1:6" hidden="1">
      <c r="A261" s="4"/>
      <c r="B261" s="30" t="s">
        <v>723</v>
      </c>
      <c r="C261" s="23"/>
      <c r="D261" s="23"/>
      <c r="E261" s="23"/>
      <c r="F261" s="23">
        <f>SUM(F255:F259)</f>
        <v>31.893750000000001</v>
      </c>
    </row>
    <row r="262" spans="1:6" ht="12.75" hidden="1" customHeight="1">
      <c r="A262" s="4"/>
      <c r="B262" s="30" t="s">
        <v>730</v>
      </c>
      <c r="C262" s="23"/>
      <c r="D262" s="23"/>
      <c r="E262" s="23"/>
      <c r="F262" s="278">
        <f>355+300</f>
        <v>655</v>
      </c>
    </row>
    <row r="263" spans="1:6" ht="12.75" hidden="1" customHeight="1">
      <c r="A263" s="4"/>
      <c r="C263" s="23"/>
      <c r="D263" s="23"/>
      <c r="E263" s="23"/>
      <c r="F263" s="23">
        <f>SUM(F261:F262)</f>
        <v>686.89374999999995</v>
      </c>
    </row>
    <row r="264" spans="1:6" hidden="1">
      <c r="A264" s="4"/>
      <c r="B264" s="13" t="s">
        <v>493</v>
      </c>
      <c r="C264" s="38"/>
      <c r="D264" s="38"/>
      <c r="E264" s="38"/>
      <c r="F264" s="35">
        <f>F263*0.01</f>
        <v>6.8689374999999995</v>
      </c>
    </row>
    <row r="265" spans="1:6" hidden="1">
      <c r="A265" s="4"/>
      <c r="B265" s="13" t="s">
        <v>117</v>
      </c>
      <c r="C265" s="38"/>
      <c r="D265" s="38"/>
      <c r="E265" s="38"/>
      <c r="F265" s="35">
        <f>SUM(F263:F264)</f>
        <v>693.76268749999997</v>
      </c>
    </row>
    <row r="266" spans="1:6" hidden="1">
      <c r="A266" s="4"/>
      <c r="B266" s="28"/>
      <c r="C266" s="28"/>
      <c r="D266" s="28"/>
      <c r="E266" s="12" t="s">
        <v>120</v>
      </c>
      <c r="F266" s="26">
        <f>ROUND(F265,1)</f>
        <v>693.8</v>
      </c>
    </row>
    <row r="267" spans="1:6" ht="63.75">
      <c r="A267" s="6">
        <v>9</v>
      </c>
      <c r="B267" s="3" t="s">
        <v>731</v>
      </c>
      <c r="C267" s="16"/>
      <c r="D267" s="16"/>
      <c r="F267" s="16"/>
    </row>
    <row r="268" spans="1:6">
      <c r="A268" s="4"/>
      <c r="B268" s="30" t="s">
        <v>52</v>
      </c>
      <c r="C268" s="16"/>
      <c r="D268" s="16"/>
      <c r="F268" s="16"/>
    </row>
    <row r="269" spans="1:6">
      <c r="A269" s="4"/>
      <c r="B269" s="30" t="s">
        <v>28</v>
      </c>
      <c r="C269" s="16"/>
      <c r="D269" s="16"/>
      <c r="F269" s="16"/>
    </row>
    <row r="270" spans="1:6">
      <c r="A270" s="4"/>
      <c r="B270" s="30" t="s">
        <v>197</v>
      </c>
      <c r="C270" s="23">
        <v>2</v>
      </c>
      <c r="D270" s="23" t="s">
        <v>64</v>
      </c>
      <c r="E270" s="23">
        <v>2</v>
      </c>
      <c r="F270" s="23">
        <f>C270*E270</f>
        <v>4</v>
      </c>
    </row>
    <row r="271" spans="1:6">
      <c r="A271" s="4"/>
      <c r="B271" s="30" t="s">
        <v>203</v>
      </c>
      <c r="C271" s="23">
        <v>2</v>
      </c>
      <c r="D271" s="23" t="s">
        <v>64</v>
      </c>
      <c r="E271" s="23">
        <v>1</v>
      </c>
      <c r="F271" s="23">
        <f>C271*E271</f>
        <v>2</v>
      </c>
    </row>
    <row r="272" spans="1:6">
      <c r="A272" s="4"/>
      <c r="B272" s="30" t="s">
        <v>200</v>
      </c>
      <c r="C272" s="23"/>
      <c r="D272" s="23" t="s">
        <v>29</v>
      </c>
      <c r="E272" s="23"/>
      <c r="F272" s="23">
        <v>1.1000000000000001</v>
      </c>
    </row>
    <row r="273" spans="1:6">
      <c r="A273" s="4"/>
      <c r="B273" s="30" t="s">
        <v>346</v>
      </c>
      <c r="C273" s="16"/>
      <c r="D273" s="16"/>
      <c r="F273" s="16"/>
    </row>
    <row r="274" spans="1:6">
      <c r="A274" s="4"/>
      <c r="B274" s="30" t="s">
        <v>206</v>
      </c>
      <c r="C274" s="23">
        <v>0.12</v>
      </c>
      <c r="D274" s="23" t="s">
        <v>24</v>
      </c>
      <c r="E274" s="23" t="e">
        <f>Lead!#REF!</f>
        <v>#REF!</v>
      </c>
      <c r="F274" s="23" t="e">
        <f>C274*E274</f>
        <v>#REF!</v>
      </c>
    </row>
    <row r="275" spans="1:6">
      <c r="A275" s="4"/>
      <c r="B275" s="30" t="s">
        <v>207</v>
      </c>
      <c r="C275" s="23">
        <v>0.12</v>
      </c>
      <c r="D275" s="23" t="s">
        <v>24</v>
      </c>
      <c r="E275" s="23" t="e">
        <f>Lead!#REF!</f>
        <v>#REF!</v>
      </c>
      <c r="F275" s="23" t="e">
        <f>C275*E275</f>
        <v>#REF!</v>
      </c>
    </row>
    <row r="276" spans="1:6">
      <c r="A276" s="4"/>
      <c r="B276" s="30" t="s">
        <v>698</v>
      </c>
      <c r="C276" s="23"/>
      <c r="D276" s="23"/>
      <c r="E276" s="23"/>
      <c r="F276" s="23" t="e">
        <f>0.15*(F274+F275)</f>
        <v>#REF!</v>
      </c>
    </row>
    <row r="277" spans="1:6">
      <c r="A277" s="4"/>
      <c r="B277" s="30" t="s">
        <v>194</v>
      </c>
      <c r="C277" s="23"/>
      <c r="D277" s="23"/>
      <c r="E277" s="23"/>
      <c r="F277" s="23" t="e">
        <f>0.01*(F274+F275)</f>
        <v>#REF!</v>
      </c>
    </row>
    <row r="278" spans="1:6">
      <c r="A278" s="4"/>
      <c r="C278" s="23"/>
      <c r="D278" s="23"/>
      <c r="E278" s="23"/>
      <c r="F278" s="262" t="s">
        <v>30</v>
      </c>
    </row>
    <row r="279" spans="1:6">
      <c r="A279" s="4"/>
      <c r="B279" s="30" t="s">
        <v>723</v>
      </c>
      <c r="C279" s="23"/>
      <c r="D279" s="23"/>
      <c r="E279" s="23"/>
      <c r="F279" s="23" t="e">
        <f>SUM(F270:F277)</f>
        <v>#REF!</v>
      </c>
    </row>
    <row r="280" spans="1:6">
      <c r="A280" s="4"/>
      <c r="B280" s="13" t="s">
        <v>493</v>
      </c>
      <c r="C280" s="38"/>
      <c r="D280" s="38"/>
      <c r="E280" s="38"/>
      <c r="F280" s="35" t="e">
        <f>F279*0.01</f>
        <v>#REF!</v>
      </c>
    </row>
    <row r="281" spans="1:6">
      <c r="A281" s="4"/>
      <c r="B281" s="13" t="s">
        <v>117</v>
      </c>
      <c r="C281" s="38"/>
      <c r="D281" s="38"/>
      <c r="E281" s="38"/>
      <c r="F281" s="35" t="e">
        <f>SUM(F279:F280)</f>
        <v>#REF!</v>
      </c>
    </row>
    <row r="282" spans="1:6">
      <c r="A282" s="4"/>
      <c r="B282" s="29" t="s">
        <v>732</v>
      </c>
      <c r="C282" s="28"/>
      <c r="D282" s="28"/>
      <c r="E282" s="12"/>
      <c r="F282" s="279">
        <v>575</v>
      </c>
    </row>
    <row r="283" spans="1:6">
      <c r="A283" s="4"/>
      <c r="B283" s="20"/>
      <c r="C283" s="28"/>
      <c r="D283" s="28"/>
      <c r="E283" s="12"/>
      <c r="F283" s="26" t="e">
        <f>SUM(F281:F282)</f>
        <v>#REF!</v>
      </c>
    </row>
    <row r="284" spans="1:6">
      <c r="A284" s="4"/>
      <c r="B284" s="28"/>
      <c r="C284" s="28"/>
      <c r="D284" s="28"/>
      <c r="E284" s="12" t="s">
        <v>543</v>
      </c>
      <c r="F284" s="26" t="e">
        <f>ROUND(F283,0)</f>
        <v>#REF!</v>
      </c>
    </row>
    <row r="285" spans="1:6">
      <c r="A285" s="4"/>
      <c r="B285" s="28"/>
      <c r="C285" s="28"/>
      <c r="D285" s="28"/>
      <c r="E285" s="12"/>
      <c r="F285" s="26"/>
    </row>
    <row r="286" spans="1:6" hidden="1">
      <c r="A286" s="4">
        <v>14</v>
      </c>
      <c r="B286" s="29" t="s">
        <v>733</v>
      </c>
      <c r="C286" s="28"/>
      <c r="D286" s="28"/>
      <c r="E286" s="12"/>
      <c r="F286" s="26"/>
    </row>
    <row r="287" spans="1:6" hidden="1">
      <c r="A287" s="4"/>
      <c r="B287" s="29" t="s">
        <v>734</v>
      </c>
      <c r="C287" s="28"/>
      <c r="D287" s="28"/>
      <c r="E287" s="12"/>
      <c r="F287" s="26"/>
    </row>
    <row r="288" spans="1:6" hidden="1">
      <c r="A288" s="4"/>
      <c r="B288" s="29" t="s">
        <v>735</v>
      </c>
      <c r="C288" s="23">
        <v>1</v>
      </c>
      <c r="D288" s="23" t="s">
        <v>736</v>
      </c>
      <c r="E288" s="23">
        <v>42.73</v>
      </c>
      <c r="F288" s="14">
        <f>E288*C288</f>
        <v>42.73</v>
      </c>
    </row>
    <row r="289" spans="1:6" hidden="1">
      <c r="A289" s="4"/>
      <c r="B289" s="29" t="s">
        <v>737</v>
      </c>
      <c r="C289" s="23">
        <v>1</v>
      </c>
      <c r="D289" s="23" t="s">
        <v>32</v>
      </c>
      <c r="E289" s="23">
        <v>1225</v>
      </c>
      <c r="F289" s="14">
        <f>E289*C289</f>
        <v>1225</v>
      </c>
    </row>
    <row r="290" spans="1:6" hidden="1">
      <c r="A290" s="4"/>
      <c r="B290" s="28"/>
      <c r="C290" s="28"/>
      <c r="D290" s="28"/>
      <c r="E290" s="12"/>
      <c r="F290" s="262" t="s">
        <v>30</v>
      </c>
    </row>
    <row r="291" spans="1:6" hidden="1">
      <c r="A291" s="4"/>
      <c r="B291" s="28"/>
      <c r="C291" s="28"/>
      <c r="D291" s="28"/>
      <c r="E291" s="12"/>
      <c r="F291" s="23">
        <f>SUM(F288:F289)</f>
        <v>1267.73</v>
      </c>
    </row>
    <row r="292" spans="1:6" hidden="1">
      <c r="A292" s="4"/>
      <c r="B292" s="13" t="s">
        <v>493</v>
      </c>
      <c r="C292" s="38"/>
      <c r="D292" s="38"/>
      <c r="E292" s="38"/>
      <c r="F292" s="35">
        <f>F291*0.01</f>
        <v>12.677300000000001</v>
      </c>
    </row>
    <row r="293" spans="1:6" hidden="1">
      <c r="A293" s="4"/>
      <c r="B293" s="13" t="s">
        <v>117</v>
      </c>
      <c r="C293" s="38"/>
      <c r="D293" s="38"/>
      <c r="E293" s="38"/>
      <c r="F293" s="35">
        <f>SUM(F291:F292)</f>
        <v>1280.4073000000001</v>
      </c>
    </row>
    <row r="294" spans="1:6" hidden="1">
      <c r="A294" s="4"/>
      <c r="B294" s="28"/>
      <c r="C294" s="28"/>
      <c r="D294" s="28"/>
      <c r="E294" s="12" t="s">
        <v>120</v>
      </c>
      <c r="F294" s="26">
        <f>ROUND(F293,0)</f>
        <v>1280</v>
      </c>
    </row>
    <row r="295" spans="1:6" hidden="1">
      <c r="A295" s="4"/>
      <c r="B295" s="28"/>
      <c r="C295" s="28"/>
      <c r="D295" s="28"/>
      <c r="E295" s="12"/>
      <c r="F295" s="26"/>
    </row>
    <row r="296" spans="1:6" ht="76.5">
      <c r="A296" s="6">
        <v>10</v>
      </c>
      <c r="B296" s="3" t="s">
        <v>738</v>
      </c>
      <c r="C296" s="23"/>
      <c r="D296" s="23"/>
      <c r="E296" s="23"/>
      <c r="F296" s="23"/>
    </row>
    <row r="297" spans="1:6">
      <c r="A297" s="4" t="s">
        <v>739</v>
      </c>
      <c r="B297" s="30" t="s">
        <v>740</v>
      </c>
      <c r="C297" s="23"/>
      <c r="D297" s="23"/>
      <c r="E297" s="23"/>
      <c r="F297" s="23"/>
    </row>
    <row r="298" spans="1:6">
      <c r="A298" s="4"/>
      <c r="B298" s="30" t="s">
        <v>65</v>
      </c>
      <c r="C298" s="23"/>
      <c r="D298" s="23"/>
      <c r="E298" s="23"/>
      <c r="F298" s="23"/>
    </row>
    <row r="299" spans="1:6">
      <c r="A299" s="4"/>
      <c r="B299" s="30" t="s">
        <v>208</v>
      </c>
      <c r="C299" s="23">
        <v>0.18</v>
      </c>
      <c r="D299" s="23" t="s">
        <v>24</v>
      </c>
      <c r="E299" s="23" t="e">
        <f>Lead!#REF!</f>
        <v>#REF!</v>
      </c>
      <c r="F299" s="23" t="e">
        <f>C299*E299</f>
        <v>#REF!</v>
      </c>
    </row>
    <row r="300" spans="1:6">
      <c r="A300" s="4"/>
      <c r="B300" s="30" t="s">
        <v>186</v>
      </c>
      <c r="C300" s="23">
        <v>0.35</v>
      </c>
      <c r="D300" s="23" t="s">
        <v>24</v>
      </c>
      <c r="E300" s="23" t="e">
        <f>Lead!#REF!</f>
        <v>#REF!</v>
      </c>
      <c r="F300" s="23" t="e">
        <f>C300*E300</f>
        <v>#REF!</v>
      </c>
    </row>
    <row r="301" spans="1:6">
      <c r="A301" s="4"/>
      <c r="B301" s="30" t="s">
        <v>66</v>
      </c>
      <c r="C301" s="23"/>
      <c r="D301" s="23"/>
      <c r="E301" s="23"/>
      <c r="F301" s="23"/>
    </row>
    <row r="302" spans="1:6">
      <c r="A302" s="4"/>
      <c r="B302" s="30" t="s">
        <v>208</v>
      </c>
      <c r="C302" s="23">
        <v>0.32</v>
      </c>
      <c r="D302" s="23" t="s">
        <v>24</v>
      </c>
      <c r="E302" s="23" t="e">
        <f>Lead!#REF!</f>
        <v>#REF!</v>
      </c>
      <c r="F302" s="23" t="e">
        <f>C302*E302</f>
        <v>#REF!</v>
      </c>
    </row>
    <row r="303" spans="1:6">
      <c r="A303" s="4"/>
      <c r="B303" s="30" t="s">
        <v>209</v>
      </c>
      <c r="C303" s="23">
        <v>1.33</v>
      </c>
      <c r="D303" s="23" t="s">
        <v>24</v>
      </c>
      <c r="E303" s="23" t="e">
        <f>Lead!#REF!</f>
        <v>#REF!</v>
      </c>
      <c r="F303" s="23" t="e">
        <f>C303*E303</f>
        <v>#REF!</v>
      </c>
    </row>
    <row r="304" spans="1:6">
      <c r="A304" s="4"/>
      <c r="B304" s="30" t="s">
        <v>158</v>
      </c>
      <c r="C304" s="23">
        <v>0.18</v>
      </c>
      <c r="D304" s="23" t="s">
        <v>24</v>
      </c>
      <c r="E304" s="23" t="e">
        <f>Lead!#REF!</f>
        <v>#REF!</v>
      </c>
      <c r="F304" s="23" t="e">
        <f>C304*E304</f>
        <v>#REF!</v>
      </c>
    </row>
    <row r="305" spans="1:7">
      <c r="A305" s="4"/>
      <c r="B305" s="30" t="s">
        <v>720</v>
      </c>
      <c r="C305" s="23"/>
      <c r="D305" s="23"/>
      <c r="E305" s="23"/>
      <c r="F305" s="23" t="e">
        <f>0.15*(F299+F300+F302+F303+F304)</f>
        <v>#REF!</v>
      </c>
    </row>
    <row r="306" spans="1:7">
      <c r="A306" s="4"/>
      <c r="B306" s="30" t="s">
        <v>194</v>
      </c>
      <c r="C306" s="23"/>
      <c r="D306" s="23"/>
      <c r="E306" s="23"/>
      <c r="F306" s="23" t="e">
        <f>0.01*(F299+F300+F302+F303+F304)</f>
        <v>#REF!</v>
      </c>
    </row>
    <row r="307" spans="1:7" hidden="1">
      <c r="A307" s="4"/>
      <c r="B307" s="30" t="s">
        <v>662</v>
      </c>
      <c r="C307" s="23"/>
      <c r="D307" s="23"/>
      <c r="E307" s="23"/>
      <c r="F307" s="23">
        <v>0</v>
      </c>
      <c r="G307" s="50"/>
    </row>
    <row r="308" spans="1:7">
      <c r="A308" s="4"/>
      <c r="B308" s="30" t="s">
        <v>67</v>
      </c>
      <c r="C308" s="23"/>
      <c r="D308" s="23"/>
      <c r="E308" s="23"/>
      <c r="F308" s="23" t="e">
        <f>(F299+F300+F302+F303+F304+F305+F306+F307)/10</f>
        <v>#REF!</v>
      </c>
    </row>
    <row r="309" spans="1:7" s="260" customFormat="1" ht="25.5">
      <c r="A309" s="276"/>
      <c r="B309" s="257" t="s">
        <v>741</v>
      </c>
      <c r="C309" s="259">
        <v>1</v>
      </c>
      <c r="D309" s="259" t="s">
        <v>31</v>
      </c>
      <c r="E309" s="259">
        <v>242.38</v>
      </c>
      <c r="F309" s="259">
        <f>C309*E309</f>
        <v>242.38</v>
      </c>
    </row>
    <row r="310" spans="1:7">
      <c r="A310" s="4"/>
      <c r="C310" s="23"/>
      <c r="D310" s="23"/>
      <c r="E310" s="23"/>
      <c r="F310" s="262" t="s">
        <v>128</v>
      </c>
    </row>
    <row r="311" spans="1:7">
      <c r="A311" s="4"/>
      <c r="C311" s="23"/>
      <c r="D311" s="23"/>
      <c r="E311" s="23"/>
      <c r="F311" s="23" t="e">
        <f>SUM(F308:F309)</f>
        <v>#REF!</v>
      </c>
    </row>
    <row r="312" spans="1:7">
      <c r="A312" s="4"/>
      <c r="B312" s="13" t="s">
        <v>493</v>
      </c>
      <c r="C312" s="38"/>
      <c r="D312" s="38"/>
      <c r="E312" s="38"/>
      <c r="F312" s="35" t="e">
        <f>F311*0.01</f>
        <v>#REF!</v>
      </c>
    </row>
    <row r="313" spans="1:7">
      <c r="A313" s="4"/>
      <c r="B313" s="13" t="s">
        <v>117</v>
      </c>
      <c r="C313" s="38"/>
      <c r="D313" s="38"/>
      <c r="E313" s="38"/>
      <c r="F313" s="35" t="e">
        <f>SUM(F311:F312)</f>
        <v>#REF!</v>
      </c>
    </row>
    <row r="314" spans="1:7">
      <c r="A314" s="4"/>
      <c r="B314" s="20"/>
      <c r="C314" s="28"/>
      <c r="D314" s="28"/>
      <c r="E314" s="12" t="s">
        <v>120</v>
      </c>
      <c r="F314" s="26" t="e">
        <f>ROUND(F313,1)</f>
        <v>#REF!</v>
      </c>
    </row>
    <row r="315" spans="1:7">
      <c r="A315" s="4"/>
      <c r="B315" s="20"/>
      <c r="C315" s="28"/>
      <c r="D315" s="28"/>
      <c r="E315" s="12"/>
      <c r="F315" s="26"/>
    </row>
    <row r="316" spans="1:7">
      <c r="A316" s="4" t="s">
        <v>742</v>
      </c>
      <c r="B316" s="30" t="s">
        <v>743</v>
      </c>
      <c r="C316" s="23"/>
      <c r="D316" s="23"/>
      <c r="E316" s="23"/>
      <c r="F316" s="23"/>
    </row>
    <row r="317" spans="1:7">
      <c r="A317" s="4"/>
      <c r="B317" s="30" t="s">
        <v>65</v>
      </c>
      <c r="C317" s="23"/>
      <c r="D317" s="23"/>
      <c r="E317" s="23"/>
      <c r="F317" s="23"/>
    </row>
    <row r="318" spans="1:7">
      <c r="A318" s="4"/>
      <c r="B318" s="30" t="s">
        <v>208</v>
      </c>
      <c r="C318" s="23">
        <v>0.12</v>
      </c>
      <c r="D318" s="23" t="s">
        <v>24</v>
      </c>
      <c r="E318" s="23" t="e">
        <f>Lead!#REF!</f>
        <v>#REF!</v>
      </c>
      <c r="F318" s="23" t="e">
        <f>C318*E318</f>
        <v>#REF!</v>
      </c>
    </row>
    <row r="319" spans="1:7">
      <c r="A319" s="4"/>
      <c r="B319" s="30" t="s">
        <v>186</v>
      </c>
      <c r="C319" s="23">
        <v>0.24</v>
      </c>
      <c r="D319" s="23" t="s">
        <v>24</v>
      </c>
      <c r="E319" s="23" t="e">
        <f>Lead!#REF!</f>
        <v>#REF!</v>
      </c>
      <c r="F319" s="23" t="e">
        <f>C319*E319</f>
        <v>#REF!</v>
      </c>
    </row>
    <row r="320" spans="1:7">
      <c r="A320" s="4"/>
      <c r="B320" s="30" t="s">
        <v>66</v>
      </c>
      <c r="C320" s="23"/>
      <c r="D320" s="23"/>
      <c r="E320" s="23"/>
      <c r="F320" s="23"/>
    </row>
    <row r="321" spans="1:7">
      <c r="A321" s="4"/>
      <c r="B321" s="30" t="s">
        <v>208</v>
      </c>
      <c r="C321" s="23">
        <v>0.22</v>
      </c>
      <c r="D321" s="23" t="s">
        <v>24</v>
      </c>
      <c r="E321" s="23" t="e">
        <f>Lead!#REF!</f>
        <v>#REF!</v>
      </c>
      <c r="F321" s="23" t="e">
        <f>C321*E321</f>
        <v>#REF!</v>
      </c>
    </row>
    <row r="322" spans="1:7">
      <c r="A322" s="4"/>
      <c r="B322" s="30" t="s">
        <v>209</v>
      </c>
      <c r="C322" s="23">
        <v>0.83</v>
      </c>
      <c r="D322" s="23" t="s">
        <v>24</v>
      </c>
      <c r="E322" s="23" t="e">
        <f>Lead!#REF!</f>
        <v>#REF!</v>
      </c>
      <c r="F322" s="23" t="e">
        <f>C322*E322</f>
        <v>#REF!</v>
      </c>
    </row>
    <row r="323" spans="1:7">
      <c r="A323" s="4"/>
      <c r="B323" s="30" t="s">
        <v>158</v>
      </c>
      <c r="C323" s="23">
        <v>0.12</v>
      </c>
      <c r="D323" s="23" t="s">
        <v>24</v>
      </c>
      <c r="E323" s="23" t="e">
        <f>Lead!#REF!</f>
        <v>#REF!</v>
      </c>
      <c r="F323" s="23" t="e">
        <f>C323*E323</f>
        <v>#REF!</v>
      </c>
    </row>
    <row r="324" spans="1:7">
      <c r="A324" s="4"/>
      <c r="B324" s="30" t="s">
        <v>720</v>
      </c>
      <c r="C324" s="23"/>
      <c r="D324" s="23"/>
      <c r="E324" s="23"/>
      <c r="F324" s="23" t="e">
        <f>0.15*(F318+F319+F321+F322+F323)</f>
        <v>#REF!</v>
      </c>
    </row>
    <row r="325" spans="1:7">
      <c r="A325" s="4"/>
      <c r="B325" s="30" t="s">
        <v>194</v>
      </c>
      <c r="C325" s="23"/>
      <c r="D325" s="23"/>
      <c r="E325" s="23"/>
      <c r="F325" s="23" t="e">
        <f>0.01*(F318+F319+F321+F322+F323)</f>
        <v>#REF!</v>
      </c>
    </row>
    <row r="326" spans="1:7" hidden="1">
      <c r="A326" s="4"/>
      <c r="B326" s="30" t="s">
        <v>662</v>
      </c>
      <c r="C326" s="23"/>
      <c r="D326" s="23"/>
      <c r="E326" s="23"/>
      <c r="F326" s="23">
        <v>0</v>
      </c>
      <c r="G326" s="50"/>
    </row>
    <row r="327" spans="1:7">
      <c r="A327" s="4"/>
      <c r="B327" s="30" t="s">
        <v>67</v>
      </c>
      <c r="C327" s="23"/>
      <c r="D327" s="23"/>
      <c r="E327" s="23"/>
      <c r="F327" s="23" t="e">
        <f>(F318+F319+F321+F322+F323+F324+F325+F326)/10</f>
        <v>#REF!</v>
      </c>
    </row>
    <row r="328" spans="1:7" s="260" customFormat="1" ht="25.5">
      <c r="A328" s="276"/>
      <c r="B328" s="257" t="s">
        <v>741</v>
      </c>
      <c r="C328" s="259">
        <v>1</v>
      </c>
      <c r="D328" s="259" t="s">
        <v>31</v>
      </c>
      <c r="E328" s="259">
        <v>133.6</v>
      </c>
      <c r="F328" s="259">
        <f>C328*E328</f>
        <v>133.6</v>
      </c>
    </row>
    <row r="329" spans="1:7">
      <c r="A329" s="4"/>
      <c r="C329" s="23"/>
      <c r="D329" s="23"/>
      <c r="E329" s="23"/>
      <c r="F329" s="262" t="s">
        <v>128</v>
      </c>
    </row>
    <row r="330" spans="1:7">
      <c r="A330" s="4"/>
      <c r="C330" s="23"/>
      <c r="D330" s="23"/>
      <c r="E330" s="23"/>
      <c r="F330" s="23" t="e">
        <f>SUM(F327:F328)</f>
        <v>#REF!</v>
      </c>
    </row>
    <row r="331" spans="1:7">
      <c r="A331" s="4"/>
      <c r="B331" s="13" t="s">
        <v>493</v>
      </c>
      <c r="C331" s="38"/>
      <c r="D331" s="38"/>
      <c r="E331" s="38"/>
      <c r="F331" s="35" t="e">
        <f>F330*0.01</f>
        <v>#REF!</v>
      </c>
    </row>
    <row r="332" spans="1:7">
      <c r="A332" s="4"/>
      <c r="B332" s="13" t="s">
        <v>117</v>
      </c>
      <c r="C332" s="38"/>
      <c r="D332" s="38"/>
      <c r="E332" s="38"/>
      <c r="F332" s="35" t="e">
        <f>SUM(F330:F331)</f>
        <v>#REF!</v>
      </c>
    </row>
    <row r="333" spans="1:7">
      <c r="A333" s="4"/>
      <c r="B333" s="20"/>
      <c r="C333" s="28"/>
      <c r="D333" s="28"/>
      <c r="E333" s="12" t="s">
        <v>120</v>
      </c>
      <c r="F333" s="26" t="e">
        <f>ROUND(F332,1)</f>
        <v>#REF!</v>
      </c>
    </row>
    <row r="334" spans="1:7">
      <c r="A334" s="4"/>
      <c r="B334" s="20"/>
      <c r="C334" s="28"/>
      <c r="D334" s="28"/>
      <c r="E334" s="12"/>
      <c r="F334" s="26"/>
    </row>
    <row r="335" spans="1:7">
      <c r="A335" s="4"/>
      <c r="B335" s="280" t="s">
        <v>744</v>
      </c>
      <c r="C335" s="28"/>
      <c r="D335" s="28"/>
      <c r="E335" s="12"/>
      <c r="F335" s="26"/>
    </row>
    <row r="336" spans="1:7">
      <c r="A336" s="5">
        <v>11</v>
      </c>
      <c r="B336" s="30" t="s">
        <v>745</v>
      </c>
      <c r="C336" s="23">
        <v>117.15</v>
      </c>
      <c r="D336" s="23">
        <f t="shared" ref="D336:D341" si="0">C336*0.01</f>
        <v>1.1715</v>
      </c>
      <c r="E336" s="23">
        <f t="shared" ref="E336:E341" si="1">D336+C336</f>
        <v>118.3215</v>
      </c>
      <c r="F336" s="151">
        <f t="shared" ref="F336:F341" si="2">ROUND(E336,1)</f>
        <v>118.3</v>
      </c>
    </row>
    <row r="337" spans="1:6">
      <c r="A337" s="5">
        <v>12</v>
      </c>
      <c r="B337" s="30" t="s">
        <v>746</v>
      </c>
      <c r="C337" s="259">
        <v>94.7</v>
      </c>
      <c r="D337" s="23">
        <f t="shared" si="0"/>
        <v>0.94700000000000006</v>
      </c>
      <c r="E337" s="23">
        <f t="shared" si="1"/>
        <v>95.647000000000006</v>
      </c>
      <c r="F337" s="26">
        <f t="shared" si="2"/>
        <v>95.6</v>
      </c>
    </row>
    <row r="338" spans="1:6">
      <c r="A338" s="5">
        <v>13</v>
      </c>
      <c r="B338" s="30" t="s">
        <v>747</v>
      </c>
      <c r="C338" s="259">
        <v>96.45</v>
      </c>
      <c r="D338" s="23">
        <f t="shared" si="0"/>
        <v>0.96450000000000002</v>
      </c>
      <c r="E338" s="23">
        <f t="shared" si="1"/>
        <v>97.414500000000004</v>
      </c>
      <c r="F338" s="26">
        <f t="shared" si="2"/>
        <v>97.4</v>
      </c>
    </row>
    <row r="339" spans="1:6">
      <c r="A339" s="5">
        <v>14</v>
      </c>
      <c r="B339" s="30" t="s">
        <v>748</v>
      </c>
      <c r="C339" s="259">
        <v>168.9</v>
      </c>
      <c r="D339" s="23">
        <f t="shared" si="0"/>
        <v>1.6890000000000001</v>
      </c>
      <c r="E339" s="23">
        <f t="shared" si="1"/>
        <v>170.589</v>
      </c>
      <c r="F339" s="26">
        <f t="shared" si="2"/>
        <v>170.6</v>
      </c>
    </row>
    <row r="340" spans="1:6">
      <c r="A340" s="5">
        <v>15</v>
      </c>
      <c r="B340" s="30" t="s">
        <v>749</v>
      </c>
      <c r="C340" s="259">
        <v>198.05</v>
      </c>
      <c r="D340" s="23">
        <f t="shared" si="0"/>
        <v>1.9805000000000001</v>
      </c>
      <c r="E340" s="23">
        <f t="shared" si="1"/>
        <v>200.03050000000002</v>
      </c>
      <c r="F340" s="26">
        <f t="shared" si="2"/>
        <v>200</v>
      </c>
    </row>
    <row r="341" spans="1:6">
      <c r="A341" s="5">
        <v>16</v>
      </c>
      <c r="B341" s="30" t="s">
        <v>750</v>
      </c>
      <c r="C341" s="272">
        <v>35</v>
      </c>
      <c r="D341" s="23">
        <f t="shared" si="0"/>
        <v>0.35000000000000003</v>
      </c>
      <c r="E341" s="23">
        <f t="shared" si="1"/>
        <v>35.35</v>
      </c>
      <c r="F341" s="26">
        <f t="shared" si="2"/>
        <v>35.4</v>
      </c>
    </row>
    <row r="342" spans="1:6">
      <c r="A342" s="5">
        <v>17</v>
      </c>
      <c r="B342" s="30" t="s">
        <v>751</v>
      </c>
      <c r="C342" s="31"/>
      <c r="D342" s="31"/>
      <c r="E342" s="31"/>
      <c r="F342" s="23"/>
    </row>
    <row r="343" spans="1:6">
      <c r="A343" s="4"/>
      <c r="B343" s="30" t="s">
        <v>68</v>
      </c>
      <c r="C343" s="23"/>
      <c r="D343" s="23"/>
      <c r="E343" s="23"/>
      <c r="F343" s="23"/>
    </row>
    <row r="344" spans="1:6">
      <c r="A344" s="4"/>
      <c r="B344" s="30" t="s">
        <v>210</v>
      </c>
      <c r="C344" s="23">
        <v>1</v>
      </c>
      <c r="D344" s="23" t="s">
        <v>24</v>
      </c>
      <c r="E344" s="23" t="e">
        <f>Lead!#REF!</f>
        <v>#REF!</v>
      </c>
      <c r="F344" s="23" t="e">
        <f>E344*C344</f>
        <v>#REF!</v>
      </c>
    </row>
    <row r="345" spans="1:6">
      <c r="A345" s="4"/>
      <c r="B345" s="30" t="s">
        <v>158</v>
      </c>
      <c r="C345" s="23">
        <v>1</v>
      </c>
      <c r="D345" s="23" t="s">
        <v>24</v>
      </c>
      <c r="E345" s="23" t="e">
        <f>Lead!#REF!</f>
        <v>#REF!</v>
      </c>
      <c r="F345" s="23" t="e">
        <f>E345*C345</f>
        <v>#REF!</v>
      </c>
    </row>
    <row r="346" spans="1:6">
      <c r="A346" s="4"/>
      <c r="B346" s="30" t="s">
        <v>720</v>
      </c>
      <c r="C346" s="23"/>
      <c r="D346" s="23"/>
      <c r="F346" s="23" t="e">
        <f>0.15*(F344+F345)</f>
        <v>#REF!</v>
      </c>
    </row>
    <row r="347" spans="1:6">
      <c r="A347" s="4"/>
      <c r="B347" s="30" t="s">
        <v>188</v>
      </c>
      <c r="C347" s="23"/>
      <c r="D347" s="23"/>
      <c r="E347" s="23"/>
      <c r="F347" s="23" t="e">
        <f>0.01*(F344+F345)</f>
        <v>#REF!</v>
      </c>
    </row>
    <row r="348" spans="1:6">
      <c r="A348" s="4"/>
      <c r="C348" s="23"/>
      <c r="D348" s="23"/>
      <c r="E348" s="23"/>
      <c r="F348" s="23" t="e">
        <f>SUM(F344:F347)</f>
        <v>#REF!</v>
      </c>
    </row>
    <row r="349" spans="1:6">
      <c r="A349" s="4"/>
      <c r="B349" s="30" t="s">
        <v>752</v>
      </c>
      <c r="C349" s="31"/>
      <c r="D349" s="31"/>
      <c r="E349" s="31"/>
      <c r="F349" s="23" t="e">
        <f>F348/30</f>
        <v>#REF!</v>
      </c>
    </row>
    <row r="350" spans="1:6" s="260" customFormat="1">
      <c r="A350" s="276"/>
      <c r="B350" s="257" t="s">
        <v>753</v>
      </c>
      <c r="C350" s="259"/>
      <c r="D350" s="259"/>
      <c r="E350" s="259"/>
      <c r="F350" s="259">
        <v>97.7</v>
      </c>
    </row>
    <row r="351" spans="1:6">
      <c r="A351" s="4"/>
      <c r="C351" s="23"/>
      <c r="D351" s="23"/>
      <c r="E351" s="23"/>
      <c r="F351" s="23" t="e">
        <f>F350+F349</f>
        <v>#REF!</v>
      </c>
    </row>
    <row r="352" spans="1:6">
      <c r="A352" s="4"/>
      <c r="B352" s="13" t="s">
        <v>493</v>
      </c>
      <c r="C352" s="38"/>
      <c r="D352" s="38"/>
      <c r="E352" s="38"/>
      <c r="F352" s="35" t="e">
        <f>F351*0.01</f>
        <v>#REF!</v>
      </c>
    </row>
    <row r="353" spans="1:6">
      <c r="A353" s="4"/>
      <c r="B353" s="13" t="s">
        <v>117</v>
      </c>
      <c r="C353" s="38"/>
      <c r="D353" s="38"/>
      <c r="E353" s="38"/>
      <c r="F353" s="35" t="e">
        <f>SUM(F351:F352)</f>
        <v>#REF!</v>
      </c>
    </row>
    <row r="354" spans="1:6">
      <c r="A354" s="4"/>
      <c r="B354" s="28"/>
      <c r="C354" s="28"/>
      <c r="D354" s="28"/>
      <c r="E354" s="12" t="s">
        <v>120</v>
      </c>
      <c r="F354" s="26" t="e">
        <f>ROUND(F353,1)</f>
        <v>#REF!</v>
      </c>
    </row>
    <row r="355" spans="1:6" ht="25.5">
      <c r="A355" s="6">
        <v>18</v>
      </c>
      <c r="B355" s="3" t="s">
        <v>754</v>
      </c>
      <c r="C355" s="23"/>
      <c r="D355" s="23"/>
      <c r="E355" s="23"/>
      <c r="F355" s="23"/>
    </row>
    <row r="356" spans="1:6">
      <c r="B356" s="271" t="s">
        <v>755</v>
      </c>
      <c r="C356" s="281"/>
      <c r="D356" s="281"/>
      <c r="E356" s="281"/>
      <c r="F356" s="272">
        <v>205</v>
      </c>
    </row>
    <row r="357" spans="1:6">
      <c r="B357" s="13" t="s">
        <v>493</v>
      </c>
      <c r="C357" s="38"/>
      <c r="D357" s="38"/>
      <c r="E357" s="38"/>
      <c r="F357" s="35">
        <f>F356*0.01</f>
        <v>2.0499999999999998</v>
      </c>
    </row>
    <row r="358" spans="1:6">
      <c r="B358" s="13" t="s">
        <v>117</v>
      </c>
      <c r="C358" s="38"/>
      <c r="D358" s="38"/>
      <c r="E358" s="38"/>
      <c r="F358" s="35">
        <f>SUM(F356:F357)</f>
        <v>207.05</v>
      </c>
    </row>
    <row r="359" spans="1:6">
      <c r="B359" s="28"/>
      <c r="C359" s="28"/>
      <c r="D359" s="28"/>
      <c r="E359" s="12" t="s">
        <v>120</v>
      </c>
      <c r="F359" s="26">
        <f>ROUND(F358,1)</f>
        <v>207.1</v>
      </c>
    </row>
    <row r="360" spans="1:6">
      <c r="A360" s="5">
        <v>19</v>
      </c>
      <c r="B360" s="30" t="s">
        <v>756</v>
      </c>
      <c r="C360" s="16"/>
      <c r="D360" s="16"/>
      <c r="F360" s="16"/>
    </row>
    <row r="361" spans="1:6">
      <c r="A361" s="5" t="s">
        <v>37</v>
      </c>
      <c r="B361" s="30" t="s">
        <v>238</v>
      </c>
      <c r="C361" s="23"/>
      <c r="D361" s="23"/>
      <c r="E361" s="23"/>
      <c r="F361" s="23"/>
    </row>
    <row r="362" spans="1:6">
      <c r="B362" s="32" t="s">
        <v>211</v>
      </c>
      <c r="C362" s="23"/>
      <c r="D362" s="23"/>
      <c r="E362" s="23"/>
      <c r="F362" s="23"/>
    </row>
    <row r="363" spans="1:6">
      <c r="B363" s="32" t="s">
        <v>28</v>
      </c>
      <c r="C363" s="23"/>
      <c r="D363" s="23"/>
      <c r="E363" s="23"/>
      <c r="F363" s="23"/>
    </row>
    <row r="364" spans="1:6" s="260" customFormat="1">
      <c r="A364" s="256"/>
      <c r="B364" s="282" t="s">
        <v>757</v>
      </c>
      <c r="C364" s="259">
        <v>10</v>
      </c>
      <c r="D364" s="259" t="s">
        <v>87</v>
      </c>
      <c r="E364" s="259">
        <f>197/3</f>
        <v>65.666666666666671</v>
      </c>
      <c r="F364" s="259">
        <f>C364*E364</f>
        <v>656.66666666666674</v>
      </c>
    </row>
    <row r="365" spans="1:6">
      <c r="B365" s="32" t="s">
        <v>354</v>
      </c>
      <c r="C365" s="23"/>
      <c r="D365" s="23"/>
      <c r="E365" s="23"/>
      <c r="F365" s="23">
        <f>F364*0.15</f>
        <v>98.500000000000014</v>
      </c>
    </row>
    <row r="366" spans="1:6">
      <c r="B366" s="32" t="s">
        <v>353</v>
      </c>
      <c r="C366" s="23"/>
      <c r="D366" s="23"/>
      <c r="E366" s="23"/>
      <c r="F366" s="23">
        <f>F364*0.03</f>
        <v>19.700000000000003</v>
      </c>
    </row>
    <row r="367" spans="1:6">
      <c r="B367" s="32" t="s">
        <v>758</v>
      </c>
      <c r="C367" s="23"/>
      <c r="D367" s="23"/>
      <c r="E367" s="23"/>
      <c r="F367" s="23"/>
    </row>
    <row r="368" spans="1:6">
      <c r="B368" s="32" t="s">
        <v>239</v>
      </c>
      <c r="C368" s="23">
        <v>0.67</v>
      </c>
      <c r="D368" s="23" t="s">
        <v>24</v>
      </c>
      <c r="E368" s="23" t="e">
        <f>Lead!#REF!</f>
        <v>#REF!</v>
      </c>
      <c r="F368" s="23" t="e">
        <f>C368*E368</f>
        <v>#REF!</v>
      </c>
    </row>
    <row r="369" spans="1:6">
      <c r="B369" s="32" t="s">
        <v>240</v>
      </c>
      <c r="C369" s="23">
        <v>0.67</v>
      </c>
      <c r="D369" s="23" t="s">
        <v>24</v>
      </c>
      <c r="E369" s="23" t="e">
        <f>Lead!#REF!</f>
        <v>#REF!</v>
      </c>
      <c r="F369" s="23" t="e">
        <f>C369*E369</f>
        <v>#REF!</v>
      </c>
    </row>
    <row r="370" spans="1:6">
      <c r="B370" s="32" t="s">
        <v>759</v>
      </c>
      <c r="C370" s="23"/>
      <c r="D370" s="23"/>
      <c r="E370" s="23"/>
      <c r="F370" s="23" t="e">
        <f>(F369+F368)*0.15</f>
        <v>#REF!</v>
      </c>
    </row>
    <row r="371" spans="1:6">
      <c r="B371" s="32" t="s">
        <v>760</v>
      </c>
      <c r="C371" s="23"/>
      <c r="D371" s="23"/>
      <c r="E371" s="23"/>
      <c r="F371" s="23" t="e">
        <f>0.01*(F368+F369)</f>
        <v>#REF!</v>
      </c>
    </row>
    <row r="372" spans="1:6">
      <c r="B372" s="32" t="s">
        <v>355</v>
      </c>
      <c r="C372" s="23"/>
      <c r="D372" s="23"/>
      <c r="E372" s="23"/>
      <c r="F372" s="23" t="e">
        <f>0.1*(F368+F369)</f>
        <v>#REF!</v>
      </c>
    </row>
    <row r="373" spans="1:6">
      <c r="B373" s="32"/>
      <c r="C373" s="23"/>
      <c r="D373" s="23"/>
      <c r="E373" s="23"/>
      <c r="F373" s="262" t="s">
        <v>128</v>
      </c>
    </row>
    <row r="374" spans="1:6">
      <c r="B374" s="32" t="s">
        <v>761</v>
      </c>
      <c r="C374" s="23"/>
      <c r="D374" s="23"/>
      <c r="E374" s="23"/>
      <c r="F374" s="23" t="e">
        <f>SUM(F364:F372)</f>
        <v>#REF!</v>
      </c>
    </row>
    <row r="375" spans="1:6">
      <c r="B375" s="32" t="s">
        <v>212</v>
      </c>
      <c r="C375" s="23"/>
      <c r="D375" s="23"/>
      <c r="F375" s="23" t="e">
        <f>F374/10</f>
        <v>#REF!</v>
      </c>
    </row>
    <row r="376" spans="1:6">
      <c r="B376" s="13" t="s">
        <v>493</v>
      </c>
      <c r="C376" s="38"/>
      <c r="D376" s="38"/>
      <c r="E376" s="38"/>
      <c r="F376" s="35" t="e">
        <f>F375*0.01</f>
        <v>#REF!</v>
      </c>
    </row>
    <row r="377" spans="1:6">
      <c r="B377" s="13" t="s">
        <v>117</v>
      </c>
      <c r="C377" s="38"/>
      <c r="D377" s="38"/>
      <c r="E377" s="38"/>
      <c r="F377" s="35" t="e">
        <f>SUM(F375:F376)</f>
        <v>#REF!</v>
      </c>
    </row>
    <row r="378" spans="1:6">
      <c r="B378" s="28"/>
      <c r="C378" s="28"/>
      <c r="D378" s="28"/>
      <c r="E378" s="12" t="s">
        <v>120</v>
      </c>
      <c r="F378" s="26" t="e">
        <f>ROUND(F377,1)</f>
        <v>#REF!</v>
      </c>
    </row>
    <row r="379" spans="1:6">
      <c r="A379" s="5" t="s">
        <v>38</v>
      </c>
      <c r="B379" s="32" t="s">
        <v>72</v>
      </c>
      <c r="C379" s="23"/>
      <c r="D379" s="23"/>
      <c r="E379" s="23"/>
      <c r="F379" s="23"/>
    </row>
    <row r="380" spans="1:6">
      <c r="B380" s="32" t="s">
        <v>211</v>
      </c>
      <c r="C380" s="23"/>
      <c r="D380" s="23"/>
      <c r="E380" s="23"/>
      <c r="F380" s="23"/>
    </row>
    <row r="381" spans="1:6">
      <c r="B381" s="32" t="s">
        <v>28</v>
      </c>
      <c r="C381" s="23"/>
      <c r="D381" s="23"/>
      <c r="E381" s="23"/>
      <c r="F381" s="23"/>
    </row>
    <row r="382" spans="1:6" s="260" customFormat="1">
      <c r="A382" s="256"/>
      <c r="B382" s="282" t="s">
        <v>762</v>
      </c>
      <c r="C382" s="259">
        <v>10</v>
      </c>
      <c r="D382" s="259" t="s">
        <v>87</v>
      </c>
      <c r="E382" s="259">
        <f>269/3</f>
        <v>89.666666666666671</v>
      </c>
      <c r="F382" s="259">
        <f>C382*E382</f>
        <v>896.66666666666674</v>
      </c>
    </row>
    <row r="383" spans="1:6">
      <c r="B383" s="32" t="s">
        <v>354</v>
      </c>
      <c r="C383" s="23"/>
      <c r="D383" s="23"/>
      <c r="E383" s="23"/>
      <c r="F383" s="23">
        <f>F382*0.15</f>
        <v>134.5</v>
      </c>
    </row>
    <row r="384" spans="1:6">
      <c r="B384" s="32" t="s">
        <v>353</v>
      </c>
      <c r="C384" s="23"/>
      <c r="D384" s="23"/>
      <c r="E384" s="23"/>
      <c r="F384" s="23">
        <f>F382*0.03</f>
        <v>26.900000000000002</v>
      </c>
    </row>
    <row r="385" spans="1:6">
      <c r="B385" s="32" t="s">
        <v>758</v>
      </c>
      <c r="C385" s="23"/>
      <c r="D385" s="23"/>
      <c r="E385" s="23"/>
      <c r="F385" s="23"/>
    </row>
    <row r="386" spans="1:6">
      <c r="B386" s="32" t="s">
        <v>239</v>
      </c>
      <c r="C386" s="23">
        <v>0.75</v>
      </c>
      <c r="D386" s="23" t="s">
        <v>24</v>
      </c>
      <c r="E386" s="23" t="e">
        <f>Lead!#REF!</f>
        <v>#REF!</v>
      </c>
      <c r="F386" s="23" t="e">
        <f>C386*E386</f>
        <v>#REF!</v>
      </c>
    </row>
    <row r="387" spans="1:6">
      <c r="B387" s="32" t="s">
        <v>240</v>
      </c>
      <c r="C387" s="23">
        <v>0.67</v>
      </c>
      <c r="D387" s="23" t="s">
        <v>24</v>
      </c>
      <c r="E387" s="23" t="e">
        <f>Lead!#REF!</f>
        <v>#REF!</v>
      </c>
      <c r="F387" s="23" t="e">
        <f>C387*E387</f>
        <v>#REF!</v>
      </c>
    </row>
    <row r="388" spans="1:6">
      <c r="B388" s="32" t="s">
        <v>759</v>
      </c>
      <c r="C388" s="23"/>
      <c r="D388" s="23"/>
      <c r="E388" s="23"/>
      <c r="F388" s="23" t="e">
        <f>(F387+F386)*0.15</f>
        <v>#REF!</v>
      </c>
    </row>
    <row r="389" spans="1:6">
      <c r="B389" s="32" t="s">
        <v>760</v>
      </c>
      <c r="C389" s="23"/>
      <c r="D389" s="23"/>
      <c r="E389" s="23"/>
      <c r="F389" s="23" t="e">
        <f>0.01*(F386+F387)</f>
        <v>#REF!</v>
      </c>
    </row>
    <row r="390" spans="1:6">
      <c r="B390" s="32" t="s">
        <v>355</v>
      </c>
      <c r="C390" s="23"/>
      <c r="D390" s="23"/>
      <c r="E390" s="23"/>
      <c r="F390" s="23" t="e">
        <f>0.1*(F386+F387)</f>
        <v>#REF!</v>
      </c>
    </row>
    <row r="391" spans="1:6">
      <c r="B391" s="32"/>
      <c r="C391" s="23"/>
      <c r="D391" s="23"/>
      <c r="E391" s="23"/>
      <c r="F391" s="262" t="s">
        <v>128</v>
      </c>
    </row>
    <row r="392" spans="1:6">
      <c r="B392" s="32" t="s">
        <v>761</v>
      </c>
      <c r="C392" s="23"/>
      <c r="D392" s="23"/>
      <c r="E392" s="23"/>
      <c r="F392" s="23" t="e">
        <f>SUM(F382:F390)</f>
        <v>#REF!</v>
      </c>
    </row>
    <row r="393" spans="1:6">
      <c r="B393" s="32" t="s">
        <v>212</v>
      </c>
      <c r="C393" s="23"/>
      <c r="D393" s="23"/>
      <c r="F393" s="23" t="e">
        <f>F392/10</f>
        <v>#REF!</v>
      </c>
    </row>
    <row r="394" spans="1:6">
      <c r="B394" s="13" t="s">
        <v>493</v>
      </c>
      <c r="C394" s="38"/>
      <c r="D394" s="38"/>
      <c r="E394" s="38"/>
      <c r="F394" s="35" t="e">
        <f>F393*0.01</f>
        <v>#REF!</v>
      </c>
    </row>
    <row r="395" spans="1:6">
      <c r="B395" s="13" t="s">
        <v>117</v>
      </c>
      <c r="C395" s="38"/>
      <c r="D395" s="38"/>
      <c r="E395" s="38"/>
      <c r="F395" s="35" t="e">
        <f>SUM(F393:F394)</f>
        <v>#REF!</v>
      </c>
    </row>
    <row r="396" spans="1:6">
      <c r="B396" s="28"/>
      <c r="C396" s="28"/>
      <c r="D396" s="28"/>
      <c r="E396" s="12" t="s">
        <v>120</v>
      </c>
      <c r="F396" s="26" t="e">
        <f>ROUND(F395,1)</f>
        <v>#REF!</v>
      </c>
    </row>
    <row r="397" spans="1:6">
      <c r="A397" s="5" t="s">
        <v>39</v>
      </c>
      <c r="B397" s="32" t="s">
        <v>241</v>
      </c>
      <c r="C397" s="23"/>
      <c r="D397" s="23"/>
      <c r="E397" s="23"/>
      <c r="F397" s="23"/>
    </row>
    <row r="398" spans="1:6">
      <c r="B398" s="32" t="s">
        <v>211</v>
      </c>
      <c r="C398" s="23"/>
      <c r="D398" s="23"/>
      <c r="E398" s="23"/>
      <c r="F398" s="23"/>
    </row>
    <row r="399" spans="1:6">
      <c r="B399" s="32" t="s">
        <v>28</v>
      </c>
      <c r="C399" s="23"/>
      <c r="D399" s="23"/>
      <c r="E399" s="23"/>
      <c r="F399" s="23"/>
    </row>
    <row r="400" spans="1:6" s="260" customFormat="1">
      <c r="A400" s="256"/>
      <c r="B400" s="282" t="s">
        <v>763</v>
      </c>
      <c r="C400" s="259">
        <v>10</v>
      </c>
      <c r="D400" s="259" t="s">
        <v>87</v>
      </c>
      <c r="E400" s="259">
        <f>395/3</f>
        <v>131.66666666666666</v>
      </c>
      <c r="F400" s="259">
        <f>C400*E400</f>
        <v>1316.6666666666665</v>
      </c>
    </row>
    <row r="401" spans="1:6">
      <c r="B401" s="32" t="s">
        <v>354</v>
      </c>
      <c r="C401" s="23"/>
      <c r="D401" s="23"/>
      <c r="E401" s="23"/>
      <c r="F401" s="23">
        <f>F400*0.15</f>
        <v>197.49999999999997</v>
      </c>
    </row>
    <row r="402" spans="1:6">
      <c r="B402" s="32" t="s">
        <v>353</v>
      </c>
      <c r="C402" s="23"/>
      <c r="D402" s="23"/>
      <c r="E402" s="23"/>
      <c r="F402" s="23">
        <f>F400*0.03</f>
        <v>39.499999999999993</v>
      </c>
    </row>
    <row r="403" spans="1:6">
      <c r="B403" s="32" t="s">
        <v>758</v>
      </c>
      <c r="C403" s="23"/>
      <c r="D403" s="23"/>
      <c r="E403" s="23"/>
      <c r="F403" s="23"/>
    </row>
    <row r="404" spans="1:6">
      <c r="B404" s="32" t="s">
        <v>239</v>
      </c>
      <c r="C404" s="23">
        <v>0.83</v>
      </c>
      <c r="D404" s="23" t="s">
        <v>24</v>
      </c>
      <c r="E404" s="23" t="e">
        <f>Lead!#REF!</f>
        <v>#REF!</v>
      </c>
      <c r="F404" s="23" t="e">
        <f>C404*E404</f>
        <v>#REF!</v>
      </c>
    </row>
    <row r="405" spans="1:6">
      <c r="B405" s="32" t="s">
        <v>240</v>
      </c>
      <c r="C405" s="23">
        <v>0.67</v>
      </c>
      <c r="D405" s="23" t="s">
        <v>24</v>
      </c>
      <c r="E405" s="23" t="e">
        <f>Lead!#REF!</f>
        <v>#REF!</v>
      </c>
      <c r="F405" s="23" t="e">
        <f>C405*E405</f>
        <v>#REF!</v>
      </c>
    </row>
    <row r="406" spans="1:6">
      <c r="B406" s="32" t="s">
        <v>759</v>
      </c>
      <c r="C406" s="23"/>
      <c r="D406" s="23"/>
      <c r="E406" s="23"/>
      <c r="F406" s="23" t="e">
        <f>(F405+F404)*0.15</f>
        <v>#REF!</v>
      </c>
    </row>
    <row r="407" spans="1:6">
      <c r="B407" s="32" t="s">
        <v>760</v>
      </c>
      <c r="C407" s="23"/>
      <c r="D407" s="23"/>
      <c r="E407" s="23"/>
      <c r="F407" s="23" t="e">
        <f>0.01*(F404+F405)</f>
        <v>#REF!</v>
      </c>
    </row>
    <row r="408" spans="1:6">
      <c r="B408" s="32" t="s">
        <v>355</v>
      </c>
      <c r="C408" s="23"/>
      <c r="D408" s="23"/>
      <c r="E408" s="23"/>
      <c r="F408" s="23" t="e">
        <f>0.1*(F404+F405)</f>
        <v>#REF!</v>
      </c>
    </row>
    <row r="409" spans="1:6">
      <c r="B409" s="32"/>
      <c r="C409" s="23"/>
      <c r="D409" s="23"/>
      <c r="E409" s="23"/>
      <c r="F409" s="262" t="s">
        <v>128</v>
      </c>
    </row>
    <row r="410" spans="1:6">
      <c r="B410" s="32" t="s">
        <v>761</v>
      </c>
      <c r="C410" s="23"/>
      <c r="D410" s="23"/>
      <c r="E410" s="23"/>
      <c r="F410" s="23" t="e">
        <f>SUM(F400:F408)</f>
        <v>#REF!</v>
      </c>
    </row>
    <row r="411" spans="1:6">
      <c r="B411" s="32" t="s">
        <v>212</v>
      </c>
      <c r="C411" s="23"/>
      <c r="D411" s="23"/>
      <c r="F411" s="23" t="e">
        <f>F410/10</f>
        <v>#REF!</v>
      </c>
    </row>
    <row r="412" spans="1:6">
      <c r="B412" s="13" t="s">
        <v>493</v>
      </c>
      <c r="C412" s="38"/>
      <c r="D412" s="38"/>
      <c r="E412" s="38"/>
      <c r="F412" s="35" t="e">
        <f>F411*0.01</f>
        <v>#REF!</v>
      </c>
    </row>
    <row r="413" spans="1:6">
      <c r="B413" s="13" t="s">
        <v>117</v>
      </c>
      <c r="C413" s="38"/>
      <c r="D413" s="38"/>
      <c r="E413" s="38"/>
      <c r="F413" s="35" t="e">
        <f>SUM(F411:F412)</f>
        <v>#REF!</v>
      </c>
    </row>
    <row r="414" spans="1:6">
      <c r="B414" s="28"/>
      <c r="C414" s="28"/>
      <c r="D414" s="28"/>
      <c r="E414" s="12" t="s">
        <v>120</v>
      </c>
      <c r="F414" s="26" t="e">
        <f>ROUND(F413,1)</f>
        <v>#REF!</v>
      </c>
    </row>
    <row r="415" spans="1:6">
      <c r="A415" s="5" t="s">
        <v>213</v>
      </c>
      <c r="B415" s="32" t="s">
        <v>764</v>
      </c>
      <c r="C415" s="23"/>
      <c r="D415" s="23"/>
      <c r="E415" s="23"/>
      <c r="F415" s="23"/>
    </row>
    <row r="416" spans="1:6">
      <c r="B416" s="32" t="s">
        <v>211</v>
      </c>
      <c r="C416" s="23"/>
      <c r="D416" s="23"/>
      <c r="E416" s="23"/>
      <c r="F416" s="23"/>
    </row>
    <row r="417" spans="1:6">
      <c r="B417" s="32" t="s">
        <v>28</v>
      </c>
      <c r="C417" s="23"/>
      <c r="D417" s="23"/>
      <c r="E417" s="23"/>
      <c r="F417" s="23"/>
    </row>
    <row r="418" spans="1:6" s="260" customFormat="1">
      <c r="A418" s="256"/>
      <c r="B418" s="282" t="s">
        <v>765</v>
      </c>
      <c r="C418" s="259">
        <v>10</v>
      </c>
      <c r="D418" s="259" t="s">
        <v>87</v>
      </c>
      <c r="E418" s="259">
        <f>547/3</f>
        <v>182.33333333333334</v>
      </c>
      <c r="F418" s="259">
        <f>C418*E418</f>
        <v>1823.3333333333335</v>
      </c>
    </row>
    <row r="419" spans="1:6">
      <c r="B419" s="32" t="s">
        <v>354</v>
      </c>
      <c r="C419" s="23"/>
      <c r="D419" s="23"/>
      <c r="E419" s="23"/>
      <c r="F419" s="23">
        <f>F418*0.15</f>
        <v>273.5</v>
      </c>
    </row>
    <row r="420" spans="1:6">
      <c r="B420" s="32" t="s">
        <v>353</v>
      </c>
      <c r="C420" s="23"/>
      <c r="D420" s="23"/>
      <c r="E420" s="23"/>
      <c r="F420" s="23">
        <f>F418*0.03</f>
        <v>54.7</v>
      </c>
    </row>
    <row r="421" spans="1:6">
      <c r="B421" s="32" t="s">
        <v>758</v>
      </c>
      <c r="C421" s="23"/>
      <c r="D421" s="23"/>
      <c r="E421" s="23"/>
      <c r="F421" s="23"/>
    </row>
    <row r="422" spans="1:6">
      <c r="B422" s="32" t="s">
        <v>239</v>
      </c>
      <c r="C422" s="23">
        <v>0.83</v>
      </c>
      <c r="D422" s="23" t="s">
        <v>24</v>
      </c>
      <c r="E422" s="23" t="e">
        <f>Lead!#REF!</f>
        <v>#REF!</v>
      </c>
      <c r="F422" s="23" t="e">
        <f>C422*E422</f>
        <v>#REF!</v>
      </c>
    </row>
    <row r="423" spans="1:6">
      <c r="B423" s="32" t="s">
        <v>240</v>
      </c>
      <c r="C423" s="23">
        <v>0.67</v>
      </c>
      <c r="D423" s="23" t="s">
        <v>24</v>
      </c>
      <c r="E423" s="23" t="e">
        <f>Lead!#REF!</f>
        <v>#REF!</v>
      </c>
      <c r="F423" s="23" t="e">
        <f>C423*E423</f>
        <v>#REF!</v>
      </c>
    </row>
    <row r="424" spans="1:6">
      <c r="B424" s="32" t="s">
        <v>766</v>
      </c>
      <c r="C424" s="23"/>
      <c r="D424" s="23"/>
      <c r="E424" s="23"/>
      <c r="F424" s="23" t="e">
        <f>(F423+F422)*0.125</f>
        <v>#REF!</v>
      </c>
    </row>
    <row r="425" spans="1:6">
      <c r="B425" s="32" t="s">
        <v>760</v>
      </c>
      <c r="C425" s="23"/>
      <c r="D425" s="23"/>
      <c r="E425" s="23"/>
      <c r="F425" s="23" t="e">
        <f>0.01*(F422+F423)</f>
        <v>#REF!</v>
      </c>
    </row>
    <row r="426" spans="1:6">
      <c r="B426" s="32" t="s">
        <v>355</v>
      </c>
      <c r="C426" s="23"/>
      <c r="D426" s="23"/>
      <c r="E426" s="23"/>
      <c r="F426" s="23" t="e">
        <f>0.1*(F422+F423)</f>
        <v>#REF!</v>
      </c>
    </row>
    <row r="427" spans="1:6">
      <c r="B427" s="32"/>
      <c r="C427" s="23"/>
      <c r="D427" s="23"/>
      <c r="E427" s="23"/>
      <c r="F427" s="262" t="s">
        <v>128</v>
      </c>
    </row>
    <row r="428" spans="1:6">
      <c r="B428" s="32" t="s">
        <v>761</v>
      </c>
      <c r="C428" s="23"/>
      <c r="D428" s="23"/>
      <c r="E428" s="23"/>
      <c r="F428" s="23" t="e">
        <f>SUM(F418:F426)</f>
        <v>#REF!</v>
      </c>
    </row>
    <row r="429" spans="1:6">
      <c r="B429" s="32" t="s">
        <v>212</v>
      </c>
      <c r="C429" s="23"/>
      <c r="D429" s="23"/>
      <c r="F429" s="23" t="e">
        <f>F428/10</f>
        <v>#REF!</v>
      </c>
    </row>
    <row r="430" spans="1:6">
      <c r="B430" s="13" t="s">
        <v>493</v>
      </c>
      <c r="C430" s="38"/>
      <c r="D430" s="38"/>
      <c r="E430" s="38"/>
      <c r="F430" s="35" t="e">
        <f>F429*0.01</f>
        <v>#REF!</v>
      </c>
    </row>
    <row r="431" spans="1:6">
      <c r="B431" s="13" t="s">
        <v>117</v>
      </c>
      <c r="C431" s="38"/>
      <c r="D431" s="38"/>
      <c r="E431" s="38"/>
      <c r="F431" s="35" t="e">
        <f>SUM(F429:F430)</f>
        <v>#REF!</v>
      </c>
    </row>
    <row r="432" spans="1:6">
      <c r="B432" s="28"/>
      <c r="C432" s="28"/>
      <c r="D432" s="28"/>
      <c r="E432" s="12" t="s">
        <v>120</v>
      </c>
      <c r="F432" s="26" t="e">
        <f>ROUND(F431,1)</f>
        <v>#REF!</v>
      </c>
    </row>
    <row r="433" spans="1:6">
      <c r="A433" s="5" t="s">
        <v>569</v>
      </c>
      <c r="B433" s="32" t="s">
        <v>767</v>
      </c>
      <c r="C433" s="23"/>
      <c r="D433" s="23"/>
      <c r="E433" s="23"/>
      <c r="F433" s="23"/>
    </row>
    <row r="434" spans="1:6">
      <c r="B434" s="32" t="s">
        <v>211</v>
      </c>
      <c r="C434" s="23"/>
      <c r="D434" s="23"/>
      <c r="E434" s="23"/>
      <c r="F434" s="23"/>
    </row>
    <row r="435" spans="1:6">
      <c r="B435" s="32" t="s">
        <v>28</v>
      </c>
      <c r="C435" s="23"/>
      <c r="D435" s="23"/>
      <c r="E435" s="23"/>
      <c r="F435" s="23"/>
    </row>
    <row r="436" spans="1:6" s="260" customFormat="1">
      <c r="A436" s="256"/>
      <c r="B436" s="282" t="s">
        <v>768</v>
      </c>
      <c r="C436" s="259">
        <v>10</v>
      </c>
      <c r="D436" s="259" t="s">
        <v>87</v>
      </c>
      <c r="E436" s="259">
        <f>915/3</f>
        <v>305</v>
      </c>
      <c r="F436" s="259">
        <f>C436*E436</f>
        <v>3050</v>
      </c>
    </row>
    <row r="437" spans="1:6">
      <c r="B437" s="32" t="s">
        <v>354</v>
      </c>
      <c r="C437" s="23"/>
      <c r="D437" s="23"/>
      <c r="E437" s="23"/>
      <c r="F437" s="23">
        <f>F436*0.15</f>
        <v>457.5</v>
      </c>
    </row>
    <row r="438" spans="1:6">
      <c r="B438" s="32" t="s">
        <v>353</v>
      </c>
      <c r="C438" s="23"/>
      <c r="D438" s="23"/>
      <c r="E438" s="23"/>
      <c r="F438" s="23">
        <f>F436*0.03</f>
        <v>91.5</v>
      </c>
    </row>
    <row r="439" spans="1:6">
      <c r="B439" s="32" t="s">
        <v>758</v>
      </c>
      <c r="C439" s="23"/>
      <c r="D439" s="23"/>
      <c r="E439" s="23"/>
      <c r="F439" s="23"/>
    </row>
    <row r="440" spans="1:6">
      <c r="B440" s="32" t="s">
        <v>239</v>
      </c>
      <c r="C440" s="23">
        <v>1.17</v>
      </c>
      <c r="D440" s="23" t="s">
        <v>24</v>
      </c>
      <c r="E440" s="23" t="e">
        <f>Lead!#REF!</f>
        <v>#REF!</v>
      </c>
      <c r="F440" s="23" t="e">
        <f>C440*E440</f>
        <v>#REF!</v>
      </c>
    </row>
    <row r="441" spans="1:6">
      <c r="B441" s="32" t="s">
        <v>240</v>
      </c>
      <c r="C441" s="23">
        <v>1.67</v>
      </c>
      <c r="D441" s="23" t="s">
        <v>24</v>
      </c>
      <c r="E441" s="23" t="e">
        <f>Lead!#REF!</f>
        <v>#REF!</v>
      </c>
      <c r="F441" s="23" t="e">
        <f>C441*E441</f>
        <v>#REF!</v>
      </c>
    </row>
    <row r="442" spans="1:6">
      <c r="B442" s="32" t="s">
        <v>759</v>
      </c>
      <c r="C442" s="23"/>
      <c r="D442" s="23"/>
      <c r="E442" s="23"/>
      <c r="F442" s="23" t="e">
        <f>(F441+F440)*0.125</f>
        <v>#REF!</v>
      </c>
    </row>
    <row r="443" spans="1:6">
      <c r="B443" s="32" t="s">
        <v>760</v>
      </c>
      <c r="C443" s="23"/>
      <c r="D443" s="23"/>
      <c r="E443" s="23"/>
      <c r="F443" s="23" t="e">
        <f>0.01*(F440+F441)</f>
        <v>#REF!</v>
      </c>
    </row>
    <row r="444" spans="1:6">
      <c r="B444" s="32" t="s">
        <v>355</v>
      </c>
      <c r="C444" s="23"/>
      <c r="D444" s="23"/>
      <c r="E444" s="23"/>
      <c r="F444" s="23" t="e">
        <f>0.1*(F440+F441)</f>
        <v>#REF!</v>
      </c>
    </row>
    <row r="445" spans="1:6">
      <c r="B445" s="32"/>
      <c r="C445" s="23"/>
      <c r="D445" s="23"/>
      <c r="E445" s="23"/>
      <c r="F445" s="262" t="s">
        <v>128</v>
      </c>
    </row>
    <row r="446" spans="1:6">
      <c r="B446" s="32" t="s">
        <v>761</v>
      </c>
      <c r="C446" s="23"/>
      <c r="D446" s="23"/>
      <c r="E446" s="23"/>
      <c r="F446" s="23" t="e">
        <f>SUM(F436:F444)</f>
        <v>#REF!</v>
      </c>
    </row>
    <row r="447" spans="1:6">
      <c r="B447" s="32" t="s">
        <v>212</v>
      </c>
      <c r="C447" s="23"/>
      <c r="D447" s="23"/>
      <c r="F447" s="23" t="e">
        <f>F446/10</f>
        <v>#REF!</v>
      </c>
    </row>
    <row r="448" spans="1:6">
      <c r="B448" s="13" t="s">
        <v>493</v>
      </c>
      <c r="C448" s="38"/>
      <c r="D448" s="38"/>
      <c r="E448" s="38"/>
      <c r="F448" s="35" t="e">
        <f>F447*0.01</f>
        <v>#REF!</v>
      </c>
    </row>
    <row r="449" spans="1:6">
      <c r="B449" s="13" t="s">
        <v>117</v>
      </c>
      <c r="C449" s="38"/>
      <c r="D449" s="38"/>
      <c r="E449" s="38"/>
      <c r="F449" s="35" t="e">
        <f>SUM(F447:F448)</f>
        <v>#REF!</v>
      </c>
    </row>
    <row r="450" spans="1:6">
      <c r="B450" s="28"/>
      <c r="C450" s="28"/>
      <c r="D450" s="28"/>
      <c r="E450" s="12" t="s">
        <v>120</v>
      </c>
      <c r="F450" s="26" t="e">
        <f>ROUND(F449,1)</f>
        <v>#REF!</v>
      </c>
    </row>
    <row r="451" spans="1:6">
      <c r="B451" s="28"/>
      <c r="C451" s="28"/>
      <c r="D451" s="28"/>
      <c r="E451" s="12"/>
      <c r="F451" s="26"/>
    </row>
    <row r="452" spans="1:6">
      <c r="A452" s="5">
        <v>20</v>
      </c>
      <c r="B452" s="32" t="s">
        <v>769</v>
      </c>
      <c r="C452" s="23"/>
      <c r="D452" s="23"/>
      <c r="E452" s="23"/>
      <c r="F452" s="23"/>
    </row>
    <row r="453" spans="1:6">
      <c r="B453" s="32" t="s">
        <v>770</v>
      </c>
      <c r="C453" s="23"/>
      <c r="D453" s="23"/>
      <c r="E453" s="23"/>
      <c r="F453" s="23"/>
    </row>
    <row r="454" spans="1:6">
      <c r="B454" s="32" t="s">
        <v>771</v>
      </c>
      <c r="C454" s="23"/>
      <c r="D454" s="23"/>
      <c r="E454" s="23"/>
      <c r="F454" s="23"/>
    </row>
    <row r="455" spans="1:6">
      <c r="B455" s="32" t="s">
        <v>28</v>
      </c>
      <c r="C455" s="23"/>
      <c r="D455" s="23"/>
      <c r="E455" s="23"/>
      <c r="F455" s="23"/>
    </row>
    <row r="456" spans="1:6">
      <c r="A456" s="256"/>
      <c r="B456" s="282" t="s">
        <v>772</v>
      </c>
      <c r="C456" s="259">
        <v>10</v>
      </c>
      <c r="D456" s="259" t="s">
        <v>56</v>
      </c>
      <c r="E456" s="259">
        <v>725</v>
      </c>
      <c r="F456" s="259">
        <f>C456*E456</f>
        <v>7250</v>
      </c>
    </row>
    <row r="457" spans="1:6">
      <c r="B457" s="32" t="s">
        <v>773</v>
      </c>
      <c r="C457" s="23"/>
      <c r="D457" s="23"/>
      <c r="E457" s="23"/>
      <c r="F457" s="23"/>
    </row>
    <row r="458" spans="1:6">
      <c r="B458" s="32" t="s">
        <v>217</v>
      </c>
      <c r="C458" s="23">
        <v>0.33</v>
      </c>
      <c r="D458" s="23" t="s">
        <v>24</v>
      </c>
      <c r="E458" s="23" t="e">
        <f>Lead!#REF!</f>
        <v>#REF!</v>
      </c>
      <c r="F458" s="23" t="e">
        <f>C458*E458</f>
        <v>#REF!</v>
      </c>
    </row>
    <row r="459" spans="1:6">
      <c r="B459" s="32" t="s">
        <v>215</v>
      </c>
      <c r="C459" s="23">
        <v>0.33</v>
      </c>
      <c r="D459" s="23" t="s">
        <v>24</v>
      </c>
      <c r="E459" s="23" t="e">
        <f>Lead!#REF!</f>
        <v>#REF!</v>
      </c>
      <c r="F459" s="23" t="e">
        <f>C459*E459</f>
        <v>#REF!</v>
      </c>
    </row>
    <row r="460" spans="1:6">
      <c r="B460" s="32" t="s">
        <v>494</v>
      </c>
      <c r="C460" s="23"/>
      <c r="D460" s="23"/>
      <c r="E460" s="23"/>
      <c r="F460" s="23" t="e">
        <f>0.15*(F458+F459)</f>
        <v>#REF!</v>
      </c>
    </row>
    <row r="461" spans="1:6">
      <c r="B461" s="32" t="s">
        <v>216</v>
      </c>
      <c r="C461" s="23"/>
      <c r="D461" s="23"/>
      <c r="E461" s="23"/>
      <c r="F461" s="23" t="e">
        <f>0.02*(F458+F459)</f>
        <v>#REF!</v>
      </c>
    </row>
    <row r="462" spans="1:6">
      <c r="B462" s="32" t="s">
        <v>214</v>
      </c>
      <c r="C462" s="23"/>
      <c r="D462" s="23"/>
      <c r="E462" s="23"/>
      <c r="F462" s="23" t="e">
        <f>0.01*(F458+F459)</f>
        <v>#REF!</v>
      </c>
    </row>
    <row r="463" spans="1:6">
      <c r="B463" s="32" t="s">
        <v>774</v>
      </c>
      <c r="C463" s="23"/>
      <c r="D463" s="23"/>
      <c r="E463" s="23"/>
      <c r="F463" s="262" t="s">
        <v>274</v>
      </c>
    </row>
    <row r="464" spans="1:6">
      <c r="B464" s="32"/>
      <c r="C464" s="23"/>
      <c r="D464" s="23"/>
      <c r="E464" s="23"/>
      <c r="F464" s="23" t="e">
        <f>SUM(F456:F462)</f>
        <v>#REF!</v>
      </c>
    </row>
    <row r="465" spans="1:6">
      <c r="B465" s="32" t="s">
        <v>775</v>
      </c>
      <c r="C465" s="23"/>
      <c r="D465" s="23"/>
      <c r="E465" s="23"/>
      <c r="F465" s="23" t="e">
        <f>F464/10</f>
        <v>#REF!</v>
      </c>
    </row>
    <row r="466" spans="1:6">
      <c r="B466" s="13" t="s">
        <v>493</v>
      </c>
      <c r="C466" s="38"/>
      <c r="D466" s="38"/>
      <c r="E466" s="38"/>
      <c r="F466" s="35" t="e">
        <f>F465*0.01</f>
        <v>#REF!</v>
      </c>
    </row>
    <row r="467" spans="1:6">
      <c r="B467" s="13" t="s">
        <v>117</v>
      </c>
      <c r="C467" s="38"/>
      <c r="D467" s="38"/>
      <c r="E467" s="38"/>
      <c r="F467" s="35" t="e">
        <f>SUM(F465:F466)</f>
        <v>#REF!</v>
      </c>
    </row>
    <row r="468" spans="1:6">
      <c r="B468" s="28"/>
      <c r="C468" s="28"/>
      <c r="D468" s="28"/>
      <c r="E468" s="12" t="s">
        <v>120</v>
      </c>
      <c r="F468" s="26" t="e">
        <f>ROUND(F467,1)</f>
        <v>#REF!</v>
      </c>
    </row>
    <row r="469" spans="1:6">
      <c r="B469" s="28"/>
      <c r="C469" s="28"/>
      <c r="D469" s="28"/>
      <c r="E469" s="12"/>
      <c r="F469" s="26"/>
    </row>
    <row r="470" spans="1:6" ht="20.25" customHeight="1">
      <c r="A470" s="5">
        <v>21</v>
      </c>
      <c r="B470" s="32" t="s">
        <v>776</v>
      </c>
      <c r="C470" s="23"/>
      <c r="D470" s="23"/>
      <c r="E470" s="23"/>
      <c r="F470" s="23"/>
    </row>
    <row r="471" spans="1:6">
      <c r="B471" s="32" t="s">
        <v>770</v>
      </c>
      <c r="C471" s="23"/>
      <c r="D471" s="23"/>
      <c r="E471" s="23"/>
      <c r="F471" s="23"/>
    </row>
    <row r="472" spans="1:6">
      <c r="B472" s="32" t="s">
        <v>777</v>
      </c>
      <c r="C472" s="23"/>
      <c r="D472" s="23"/>
      <c r="E472" s="23"/>
      <c r="F472" s="23"/>
    </row>
    <row r="473" spans="1:6">
      <c r="B473" s="32" t="s">
        <v>28</v>
      </c>
      <c r="C473" s="23"/>
      <c r="D473" s="23"/>
      <c r="E473" s="23"/>
      <c r="F473" s="23"/>
    </row>
    <row r="474" spans="1:6" s="260" customFormat="1">
      <c r="A474" s="256"/>
      <c r="B474" s="282" t="s">
        <v>778</v>
      </c>
      <c r="C474" s="259">
        <v>10</v>
      </c>
      <c r="D474" s="259" t="s">
        <v>56</v>
      </c>
      <c r="E474" s="259">
        <v>1000</v>
      </c>
      <c r="F474" s="259">
        <f>C474*E474</f>
        <v>10000</v>
      </c>
    </row>
    <row r="475" spans="1:6">
      <c r="B475" s="32" t="s">
        <v>773</v>
      </c>
      <c r="C475" s="23"/>
      <c r="D475" s="23"/>
      <c r="E475" s="23"/>
      <c r="F475" s="23"/>
    </row>
    <row r="476" spans="1:6">
      <c r="B476" s="32" t="s">
        <v>217</v>
      </c>
      <c r="C476" s="23">
        <v>0.33</v>
      </c>
      <c r="D476" s="23" t="s">
        <v>24</v>
      </c>
      <c r="E476" s="23" t="e">
        <f>Lead!#REF!</f>
        <v>#REF!</v>
      </c>
      <c r="F476" s="23" t="e">
        <f>C476*E476</f>
        <v>#REF!</v>
      </c>
    </row>
    <row r="477" spans="1:6">
      <c r="B477" s="32" t="s">
        <v>215</v>
      </c>
      <c r="C477" s="23">
        <v>0.33</v>
      </c>
      <c r="D477" s="23" t="s">
        <v>24</v>
      </c>
      <c r="E477" s="23" t="e">
        <f>Lead!#REF!</f>
        <v>#REF!</v>
      </c>
      <c r="F477" s="23" t="e">
        <f>C477*E477</f>
        <v>#REF!</v>
      </c>
    </row>
    <row r="478" spans="1:6">
      <c r="B478" s="32" t="s">
        <v>494</v>
      </c>
      <c r="C478" s="23"/>
      <c r="D478" s="23"/>
      <c r="E478" s="23"/>
      <c r="F478" s="23" t="e">
        <f>0.125*(F476+F477)</f>
        <v>#REF!</v>
      </c>
    </row>
    <row r="479" spans="1:6">
      <c r="B479" s="32" t="s">
        <v>216</v>
      </c>
      <c r="C479" s="23"/>
      <c r="D479" s="23"/>
      <c r="E479" s="23"/>
      <c r="F479" s="23" t="e">
        <f>0.02*(F476+F477)</f>
        <v>#REF!</v>
      </c>
    </row>
    <row r="480" spans="1:6">
      <c r="B480" s="32" t="s">
        <v>214</v>
      </c>
      <c r="C480" s="23"/>
      <c r="D480" s="23"/>
      <c r="E480" s="23"/>
      <c r="F480" s="23" t="e">
        <f>0.01*(F476+F477)</f>
        <v>#REF!</v>
      </c>
    </row>
    <row r="481" spans="1:6">
      <c r="B481" s="32" t="s">
        <v>774</v>
      </c>
      <c r="C481" s="23"/>
      <c r="D481" s="23"/>
      <c r="E481" s="23"/>
      <c r="F481" s="262" t="s">
        <v>274</v>
      </c>
    </row>
    <row r="482" spans="1:6">
      <c r="B482" s="32"/>
      <c r="C482" s="23"/>
      <c r="D482" s="23"/>
      <c r="E482" s="23"/>
      <c r="F482" s="23" t="e">
        <f>SUM(F474:F480)</f>
        <v>#REF!</v>
      </c>
    </row>
    <row r="483" spans="1:6">
      <c r="B483" s="32" t="s">
        <v>775</v>
      </c>
      <c r="C483" s="23"/>
      <c r="D483" s="23"/>
      <c r="E483" s="23"/>
      <c r="F483" s="23" t="e">
        <f>F482/10</f>
        <v>#REF!</v>
      </c>
    </row>
    <row r="484" spans="1:6">
      <c r="B484" s="13" t="s">
        <v>493</v>
      </c>
      <c r="C484" s="38"/>
      <c r="D484" s="38"/>
      <c r="E484" s="38"/>
      <c r="F484" s="35" t="e">
        <f>F483*0.01</f>
        <v>#REF!</v>
      </c>
    </row>
    <row r="485" spans="1:6">
      <c r="B485" s="13" t="s">
        <v>117</v>
      </c>
      <c r="C485" s="38"/>
      <c r="D485" s="38"/>
      <c r="E485" s="38"/>
      <c r="F485" s="35" t="e">
        <f>SUM(F483:F484)</f>
        <v>#REF!</v>
      </c>
    </row>
    <row r="486" spans="1:6">
      <c r="B486" s="28"/>
      <c r="C486" s="28"/>
      <c r="D486" s="28"/>
      <c r="E486" s="12" t="s">
        <v>120</v>
      </c>
      <c r="F486" s="26" t="e">
        <f>ROUND(F485,1)</f>
        <v>#REF!</v>
      </c>
    </row>
    <row r="487" spans="1:6">
      <c r="A487" s="5">
        <v>22</v>
      </c>
      <c r="B487" s="32" t="s">
        <v>779</v>
      </c>
      <c r="C487" s="23"/>
      <c r="D487" s="23"/>
      <c r="E487" s="23"/>
      <c r="F487" s="23"/>
    </row>
    <row r="488" spans="1:6">
      <c r="B488" s="32" t="s">
        <v>770</v>
      </c>
      <c r="C488" s="23"/>
      <c r="D488" s="23"/>
      <c r="E488" s="23"/>
      <c r="F488" s="23"/>
    </row>
    <row r="489" spans="1:6">
      <c r="B489" s="32" t="s">
        <v>242</v>
      </c>
      <c r="C489" s="23"/>
      <c r="D489" s="23"/>
      <c r="E489" s="23"/>
      <c r="F489" s="23"/>
    </row>
    <row r="490" spans="1:6">
      <c r="B490" s="32" t="s">
        <v>28</v>
      </c>
      <c r="C490" s="23"/>
      <c r="D490" s="23"/>
      <c r="E490" s="23"/>
      <c r="F490" s="23"/>
    </row>
    <row r="491" spans="1:6" s="260" customFormat="1">
      <c r="A491" s="256"/>
      <c r="B491" s="282" t="s">
        <v>780</v>
      </c>
      <c r="C491" s="259">
        <v>10</v>
      </c>
      <c r="D491" s="259" t="s">
        <v>56</v>
      </c>
      <c r="E491" s="259">
        <v>700</v>
      </c>
      <c r="F491" s="259">
        <f>C491*E491</f>
        <v>7000</v>
      </c>
    </row>
    <row r="492" spans="1:6">
      <c r="B492" s="32" t="s">
        <v>773</v>
      </c>
      <c r="C492" s="23"/>
      <c r="D492" s="23"/>
      <c r="E492" s="23"/>
      <c r="F492" s="23"/>
    </row>
    <row r="493" spans="1:6">
      <c r="B493" s="32" t="s">
        <v>218</v>
      </c>
      <c r="C493" s="23">
        <v>0.5</v>
      </c>
      <c r="D493" s="23" t="s">
        <v>24</v>
      </c>
      <c r="E493" s="23" t="e">
        <f>Lead!#REF!</f>
        <v>#REF!</v>
      </c>
      <c r="F493" s="23" t="e">
        <f>C493*E493</f>
        <v>#REF!</v>
      </c>
    </row>
    <row r="494" spans="1:6">
      <c r="B494" s="32" t="s">
        <v>219</v>
      </c>
      <c r="C494" s="23">
        <v>0.5</v>
      </c>
      <c r="D494" s="23" t="s">
        <v>24</v>
      </c>
      <c r="E494" s="23" t="e">
        <f>Lead!#REF!</f>
        <v>#REF!</v>
      </c>
      <c r="F494" s="23" t="e">
        <f>C494*E494</f>
        <v>#REF!</v>
      </c>
    </row>
    <row r="495" spans="1:6">
      <c r="B495" s="32" t="s">
        <v>781</v>
      </c>
      <c r="C495" s="23"/>
      <c r="D495" s="23"/>
      <c r="E495" s="23"/>
      <c r="F495" s="23" t="e">
        <f>0.125*(F493+F494)</f>
        <v>#REF!</v>
      </c>
    </row>
    <row r="496" spans="1:6">
      <c r="B496" s="32" t="s">
        <v>216</v>
      </c>
      <c r="C496" s="23"/>
      <c r="D496" s="23"/>
      <c r="E496" s="23"/>
      <c r="F496" s="23" t="e">
        <f>0.02*(F493+F494)</f>
        <v>#REF!</v>
      </c>
    </row>
    <row r="497" spans="1:6">
      <c r="B497" s="32" t="s">
        <v>214</v>
      </c>
      <c r="C497" s="23"/>
      <c r="D497" s="23"/>
      <c r="E497" s="23"/>
      <c r="F497" s="23" t="e">
        <f>0.01*(F493+F494)</f>
        <v>#REF!</v>
      </c>
    </row>
    <row r="498" spans="1:6">
      <c r="B498" s="32" t="s">
        <v>782</v>
      </c>
      <c r="C498" s="23"/>
      <c r="D498" s="23"/>
      <c r="E498" s="23"/>
      <c r="F498" s="262" t="s">
        <v>274</v>
      </c>
    </row>
    <row r="499" spans="1:6">
      <c r="B499" s="32"/>
      <c r="C499" s="23"/>
      <c r="D499" s="23"/>
      <c r="E499" s="23"/>
      <c r="F499" s="23" t="e">
        <f>SUM(F491:F497)</f>
        <v>#REF!</v>
      </c>
    </row>
    <row r="500" spans="1:6">
      <c r="B500" s="32" t="s">
        <v>775</v>
      </c>
      <c r="C500" s="23"/>
      <c r="D500" s="23"/>
      <c r="E500" s="23"/>
      <c r="F500" s="23" t="e">
        <f>F499/10</f>
        <v>#REF!</v>
      </c>
    </row>
    <row r="501" spans="1:6">
      <c r="B501" s="13" t="s">
        <v>493</v>
      </c>
      <c r="C501" s="38"/>
      <c r="D501" s="38"/>
      <c r="E501" s="38"/>
      <c r="F501" s="35" t="e">
        <f>F500*0.01</f>
        <v>#REF!</v>
      </c>
    </row>
    <row r="502" spans="1:6">
      <c r="B502" s="13" t="s">
        <v>117</v>
      </c>
      <c r="C502" s="38"/>
      <c r="D502" s="38"/>
      <c r="E502" s="38"/>
      <c r="F502" s="35" t="e">
        <f>SUM(F500:F501)</f>
        <v>#REF!</v>
      </c>
    </row>
    <row r="503" spans="1:6">
      <c r="B503" s="28"/>
      <c r="C503" s="28"/>
      <c r="D503" s="28"/>
      <c r="E503" s="12" t="s">
        <v>120</v>
      </c>
      <c r="F503" s="26" t="e">
        <f>ROUND(F502,1)</f>
        <v>#REF!</v>
      </c>
    </row>
    <row r="504" spans="1:6" hidden="1">
      <c r="A504" s="5">
        <v>27</v>
      </c>
      <c r="B504" s="32" t="s">
        <v>783</v>
      </c>
      <c r="C504" s="23"/>
      <c r="D504" s="23"/>
      <c r="E504" s="23"/>
      <c r="F504" s="23"/>
    </row>
    <row r="505" spans="1:6" hidden="1">
      <c r="B505" s="32" t="s">
        <v>770</v>
      </c>
      <c r="C505" s="23"/>
      <c r="D505" s="23"/>
      <c r="E505" s="23"/>
      <c r="F505" s="23"/>
    </row>
    <row r="506" spans="1:6" hidden="1">
      <c r="B506" s="32" t="s">
        <v>784</v>
      </c>
      <c r="C506" s="23"/>
      <c r="D506" s="23"/>
      <c r="E506" s="23"/>
      <c r="F506" s="23"/>
    </row>
    <row r="507" spans="1:6" hidden="1">
      <c r="B507" s="32" t="s">
        <v>28</v>
      </c>
      <c r="C507" s="23"/>
      <c r="D507" s="23"/>
      <c r="E507" s="23"/>
      <c r="F507" s="23"/>
    </row>
    <row r="508" spans="1:6" s="260" customFormat="1" ht="25.5" hidden="1">
      <c r="A508" s="256"/>
      <c r="B508" s="282" t="s">
        <v>785</v>
      </c>
      <c r="C508" s="259">
        <v>10</v>
      </c>
      <c r="D508" s="259" t="s">
        <v>56</v>
      </c>
      <c r="E508" s="259">
        <v>1350</v>
      </c>
      <c r="F508" s="259">
        <f>C508*E508</f>
        <v>13500</v>
      </c>
    </row>
    <row r="509" spans="1:6" hidden="1">
      <c r="B509" s="32" t="s">
        <v>773</v>
      </c>
      <c r="C509" s="23"/>
      <c r="D509" s="23"/>
      <c r="E509" s="23"/>
      <c r="F509" s="23"/>
    </row>
    <row r="510" spans="1:6" hidden="1">
      <c r="B510" s="32" t="s">
        <v>218</v>
      </c>
      <c r="C510" s="23">
        <v>0.5</v>
      </c>
      <c r="D510" s="23" t="s">
        <v>24</v>
      </c>
      <c r="E510" s="23">
        <v>190</v>
      </c>
      <c r="F510" s="23">
        <f>C510*E510</f>
        <v>95</v>
      </c>
    </row>
    <row r="511" spans="1:6" hidden="1">
      <c r="B511" s="32" t="s">
        <v>219</v>
      </c>
      <c r="C511" s="23">
        <v>0.5</v>
      </c>
      <c r="D511" s="23" t="s">
        <v>24</v>
      </c>
      <c r="E511" s="23">
        <v>170</v>
      </c>
      <c r="F511" s="23">
        <f>C511*E511</f>
        <v>85</v>
      </c>
    </row>
    <row r="512" spans="1:6" hidden="1">
      <c r="B512" s="32" t="s">
        <v>786</v>
      </c>
      <c r="C512" s="23"/>
      <c r="D512" s="23"/>
      <c r="E512" s="23"/>
      <c r="F512" s="23">
        <f>0.125*(F510+F511)</f>
        <v>22.5</v>
      </c>
    </row>
    <row r="513" spans="1:6" hidden="1">
      <c r="B513" s="32" t="s">
        <v>216</v>
      </c>
      <c r="C513" s="23"/>
      <c r="D513" s="23"/>
      <c r="E513" s="23"/>
      <c r="F513" s="23">
        <f>0.02*(F510+F511)</f>
        <v>3.6</v>
      </c>
    </row>
    <row r="514" spans="1:6" hidden="1">
      <c r="B514" s="32" t="s">
        <v>214</v>
      </c>
      <c r="C514" s="23"/>
      <c r="D514" s="23"/>
      <c r="E514" s="23"/>
      <c r="F514" s="23">
        <f>0.01*(F510+F511)</f>
        <v>1.8</v>
      </c>
    </row>
    <row r="515" spans="1:6" hidden="1">
      <c r="B515" s="32" t="s">
        <v>787</v>
      </c>
      <c r="C515" s="23"/>
      <c r="D515" s="23"/>
      <c r="E515" s="23"/>
      <c r="F515" s="23">
        <f>0.03*(F510+F511)</f>
        <v>5.3999999999999995</v>
      </c>
    </row>
    <row r="516" spans="1:6" hidden="1">
      <c r="B516" s="32" t="s">
        <v>782</v>
      </c>
      <c r="C516" s="23"/>
      <c r="D516" s="23"/>
      <c r="E516" s="23"/>
      <c r="F516" s="262" t="s">
        <v>274</v>
      </c>
    </row>
    <row r="517" spans="1:6" hidden="1">
      <c r="B517" s="32"/>
      <c r="C517" s="23"/>
      <c r="D517" s="23"/>
      <c r="E517" s="23"/>
      <c r="F517" s="23">
        <f>SUM(F508:F515)</f>
        <v>13713.3</v>
      </c>
    </row>
    <row r="518" spans="1:6" hidden="1">
      <c r="B518" s="32" t="s">
        <v>775</v>
      </c>
      <c r="C518" s="23"/>
      <c r="D518" s="23"/>
      <c r="E518" s="23"/>
      <c r="F518" s="23">
        <f>F517/10</f>
        <v>1371.33</v>
      </c>
    </row>
    <row r="519" spans="1:6" hidden="1">
      <c r="B519" s="13" t="s">
        <v>493</v>
      </c>
      <c r="C519" s="38"/>
      <c r="D519" s="38"/>
      <c r="E519" s="38"/>
      <c r="F519" s="35">
        <f>F518*0.01</f>
        <v>13.7133</v>
      </c>
    </row>
    <row r="520" spans="1:6" hidden="1">
      <c r="B520" s="13" t="s">
        <v>117</v>
      </c>
      <c r="C520" s="38"/>
      <c r="D520" s="38"/>
      <c r="E520" s="38"/>
      <c r="F520" s="35">
        <f>SUM(F518:F519)</f>
        <v>1385.0432999999998</v>
      </c>
    </row>
    <row r="521" spans="1:6" hidden="1">
      <c r="B521" s="28"/>
      <c r="C521" s="28"/>
      <c r="D521" s="28"/>
      <c r="E521" s="12" t="s">
        <v>120</v>
      </c>
      <c r="F521" s="26">
        <f>ROUND(F520,1)</f>
        <v>1385</v>
      </c>
    </row>
    <row r="522" spans="1:6" ht="25.5">
      <c r="A522" s="5">
        <v>23</v>
      </c>
      <c r="B522" s="3" t="s">
        <v>788</v>
      </c>
      <c r="C522" s="23"/>
      <c r="D522" s="23"/>
      <c r="E522" s="23"/>
      <c r="F522" s="23"/>
    </row>
    <row r="523" spans="1:6">
      <c r="B523" s="32" t="s">
        <v>789</v>
      </c>
      <c r="C523" s="23"/>
      <c r="D523" s="23"/>
      <c r="E523" s="23"/>
      <c r="F523" s="23"/>
    </row>
    <row r="524" spans="1:6">
      <c r="B524" s="32" t="s">
        <v>28</v>
      </c>
      <c r="C524" s="23"/>
      <c r="D524" s="23"/>
      <c r="E524" s="23"/>
      <c r="F524" s="23"/>
    </row>
    <row r="525" spans="1:6" s="264" customFormat="1">
      <c r="A525" s="263"/>
      <c r="B525" s="283" t="s">
        <v>790</v>
      </c>
      <c r="C525" s="272">
        <v>10</v>
      </c>
      <c r="D525" s="272" t="s">
        <v>56</v>
      </c>
      <c r="E525" s="272">
        <v>300</v>
      </c>
      <c r="F525" s="272">
        <f>C525*E525</f>
        <v>3000</v>
      </c>
    </row>
    <row r="526" spans="1:6">
      <c r="B526" s="32" t="s">
        <v>773</v>
      </c>
      <c r="C526" s="23"/>
      <c r="D526" s="23"/>
      <c r="E526" s="23"/>
      <c r="F526" s="23"/>
    </row>
    <row r="527" spans="1:6">
      <c r="B527" s="32" t="s">
        <v>319</v>
      </c>
      <c r="C527" s="23">
        <v>0.5</v>
      </c>
      <c r="D527" s="23" t="s">
        <v>24</v>
      </c>
      <c r="E527" s="23" t="e">
        <f>Lead!#REF!</f>
        <v>#REF!</v>
      </c>
      <c r="F527" s="23" t="e">
        <f>C527*E527</f>
        <v>#REF!</v>
      </c>
    </row>
    <row r="528" spans="1:6">
      <c r="B528" s="32" t="s">
        <v>320</v>
      </c>
      <c r="C528" s="23">
        <v>0.5</v>
      </c>
      <c r="D528" s="23" t="s">
        <v>24</v>
      </c>
      <c r="E528" s="23" t="e">
        <f>Lead!#REF!</f>
        <v>#REF!</v>
      </c>
      <c r="F528" s="23" t="e">
        <f>C528*E528</f>
        <v>#REF!</v>
      </c>
    </row>
    <row r="529" spans="1:6">
      <c r="B529" s="32" t="s">
        <v>791</v>
      </c>
      <c r="C529" s="23"/>
      <c r="D529" s="23"/>
      <c r="E529" s="23"/>
      <c r="F529" s="23" t="e">
        <f>0.15*(F527+F528)</f>
        <v>#REF!</v>
      </c>
    </row>
    <row r="530" spans="1:6">
      <c r="B530" s="32" t="s">
        <v>216</v>
      </c>
      <c r="C530" s="23"/>
      <c r="D530" s="23"/>
      <c r="E530" s="23"/>
      <c r="F530" s="23" t="e">
        <f>0.02*(F527+F528)</f>
        <v>#REF!</v>
      </c>
    </row>
    <row r="531" spans="1:6">
      <c r="B531" s="32" t="s">
        <v>792</v>
      </c>
      <c r="C531" s="23"/>
      <c r="D531" s="23"/>
      <c r="E531" s="23"/>
      <c r="F531" s="23" t="e">
        <f>0.01*(F527+F528)</f>
        <v>#REF!</v>
      </c>
    </row>
    <row r="532" spans="1:6">
      <c r="B532" s="32" t="s">
        <v>793</v>
      </c>
      <c r="C532" s="23"/>
      <c r="D532" s="23"/>
      <c r="E532" s="23"/>
      <c r="F532" s="262" t="s">
        <v>30</v>
      </c>
    </row>
    <row r="533" spans="1:6">
      <c r="B533" s="32"/>
      <c r="C533" s="23"/>
      <c r="D533" s="23"/>
      <c r="E533" s="23"/>
      <c r="F533" s="23" t="e">
        <f>SUM(F525:F531)</f>
        <v>#REF!</v>
      </c>
    </row>
    <row r="534" spans="1:6">
      <c r="B534" s="32" t="s">
        <v>794</v>
      </c>
      <c r="C534" s="23"/>
      <c r="D534" s="23"/>
      <c r="E534" s="23"/>
      <c r="F534" s="25" t="e">
        <f>F533/10</f>
        <v>#REF!</v>
      </c>
    </row>
    <row r="535" spans="1:6">
      <c r="B535" s="13" t="s">
        <v>493</v>
      </c>
      <c r="C535" s="38"/>
      <c r="D535" s="38"/>
      <c r="E535" s="38"/>
      <c r="F535" s="35" t="e">
        <f>F534*0.01</f>
        <v>#REF!</v>
      </c>
    </row>
    <row r="536" spans="1:6">
      <c r="B536" s="13" t="s">
        <v>117</v>
      </c>
      <c r="C536" s="38"/>
      <c r="D536" s="38"/>
      <c r="E536" s="38"/>
      <c r="F536" s="35" t="e">
        <f>SUM(F534:F535)</f>
        <v>#REF!</v>
      </c>
    </row>
    <row r="537" spans="1:6">
      <c r="B537" s="28"/>
      <c r="C537" s="28"/>
      <c r="D537" s="28"/>
      <c r="E537" s="12" t="s">
        <v>120</v>
      </c>
      <c r="F537" s="26" t="e">
        <f>ROUND(F536,1)</f>
        <v>#REF!</v>
      </c>
    </row>
    <row r="538" spans="1:6" ht="25.5">
      <c r="A538" s="5">
        <v>24</v>
      </c>
      <c r="B538" s="3" t="s">
        <v>343</v>
      </c>
      <c r="C538" s="23"/>
      <c r="D538" s="23"/>
      <c r="E538" s="23"/>
      <c r="F538" s="23"/>
    </row>
    <row r="539" spans="1:6">
      <c r="B539" s="32" t="s">
        <v>344</v>
      </c>
      <c r="C539" s="23"/>
      <c r="D539" s="23"/>
      <c r="E539" s="23"/>
      <c r="F539" s="23"/>
    </row>
    <row r="540" spans="1:6">
      <c r="B540" s="32" t="s">
        <v>345</v>
      </c>
      <c r="C540" s="23"/>
      <c r="D540" s="23"/>
      <c r="E540" s="23"/>
      <c r="F540" s="23"/>
    </row>
    <row r="541" spans="1:6">
      <c r="B541" s="32" t="s">
        <v>346</v>
      </c>
      <c r="C541" s="23"/>
      <c r="D541" s="23"/>
      <c r="E541" s="23"/>
      <c r="F541" s="23"/>
    </row>
    <row r="542" spans="1:6">
      <c r="B542" s="32" t="s">
        <v>347</v>
      </c>
      <c r="C542" s="23">
        <v>0.5</v>
      </c>
      <c r="D542" s="23" t="s">
        <v>24</v>
      </c>
      <c r="E542" s="23" t="e">
        <f>Lead!#REF!</f>
        <v>#REF!</v>
      </c>
      <c r="F542" s="23" t="e">
        <f>C542*E542</f>
        <v>#REF!</v>
      </c>
    </row>
    <row r="543" spans="1:6">
      <c r="B543" s="32" t="s">
        <v>348</v>
      </c>
      <c r="C543" s="23">
        <v>0.75</v>
      </c>
      <c r="D543" s="23" t="s">
        <v>24</v>
      </c>
      <c r="E543" s="23" t="e">
        <f>Lead!#REF!</f>
        <v>#REF!</v>
      </c>
      <c r="F543" s="23" t="e">
        <f>C543*E543</f>
        <v>#REF!</v>
      </c>
    </row>
    <row r="544" spans="1:6">
      <c r="B544" s="32" t="s">
        <v>220</v>
      </c>
      <c r="C544" s="23">
        <v>4</v>
      </c>
      <c r="D544" s="23" t="s">
        <v>24</v>
      </c>
      <c r="E544" s="23" t="e">
        <f>Lead!#REF!</f>
        <v>#REF!</v>
      </c>
      <c r="F544" s="23" t="e">
        <f>C544*E544</f>
        <v>#REF!</v>
      </c>
    </row>
    <row r="545" spans="1:6">
      <c r="B545" s="32" t="s">
        <v>795</v>
      </c>
      <c r="C545" s="23"/>
      <c r="D545" s="23"/>
      <c r="E545" s="23"/>
      <c r="F545" s="23" t="e">
        <f>0.15*(F542+F543+F544)</f>
        <v>#REF!</v>
      </c>
    </row>
    <row r="546" spans="1:6">
      <c r="B546" s="32" t="s">
        <v>796</v>
      </c>
      <c r="C546" s="23"/>
      <c r="D546" s="23"/>
      <c r="E546" s="23"/>
      <c r="F546" s="23" t="e">
        <f>0.01*(F542+F543+F544)</f>
        <v>#REF!</v>
      </c>
    </row>
    <row r="547" spans="1:6">
      <c r="B547" s="32" t="s">
        <v>28</v>
      </c>
      <c r="C547" s="23"/>
      <c r="D547" s="23"/>
      <c r="E547" s="23"/>
      <c r="F547" s="23"/>
    </row>
    <row r="548" spans="1:6">
      <c r="B548" s="32" t="s">
        <v>349</v>
      </c>
      <c r="C548" s="23"/>
      <c r="D548" s="23" t="s">
        <v>29</v>
      </c>
      <c r="E548" s="23"/>
      <c r="F548" s="23">
        <v>6.6</v>
      </c>
    </row>
    <row r="549" spans="1:6">
      <c r="B549" s="32"/>
      <c r="C549" s="23"/>
      <c r="D549" s="23"/>
      <c r="E549" s="23"/>
      <c r="F549" s="23" t="e">
        <f>SUM(F542:F548)</f>
        <v>#REF!</v>
      </c>
    </row>
    <row r="550" spans="1:6" s="260" customFormat="1">
      <c r="A550" s="256"/>
      <c r="B550" s="282" t="s">
        <v>797</v>
      </c>
      <c r="C550" s="259">
        <v>1</v>
      </c>
      <c r="D550" s="259" t="s">
        <v>56</v>
      </c>
      <c r="E550" s="259">
        <v>6000</v>
      </c>
      <c r="F550" s="259">
        <f>C550*E550</f>
        <v>6000</v>
      </c>
    </row>
    <row r="551" spans="1:6">
      <c r="B551" s="32"/>
      <c r="C551" s="23"/>
      <c r="D551" s="23"/>
      <c r="E551" s="23"/>
      <c r="F551" s="262" t="s">
        <v>30</v>
      </c>
    </row>
    <row r="552" spans="1:6">
      <c r="B552" s="32"/>
      <c r="C552" s="23"/>
      <c r="D552" s="23"/>
      <c r="E552" s="23"/>
      <c r="F552" s="23" t="e">
        <f>F549+F550</f>
        <v>#REF!</v>
      </c>
    </row>
    <row r="553" spans="1:6">
      <c r="B553" s="13" t="s">
        <v>493</v>
      </c>
      <c r="C553" s="38"/>
      <c r="D553" s="38"/>
      <c r="E553" s="38"/>
      <c r="F553" s="35" t="e">
        <f>F552*0.01</f>
        <v>#REF!</v>
      </c>
    </row>
    <row r="554" spans="1:6">
      <c r="B554" s="13" t="s">
        <v>117</v>
      </c>
      <c r="C554" s="38"/>
      <c r="D554" s="38"/>
      <c r="E554" s="38"/>
      <c r="F554" s="35" t="e">
        <f>SUM(F552:F553)</f>
        <v>#REF!</v>
      </c>
    </row>
    <row r="555" spans="1:6">
      <c r="B555" s="28"/>
      <c r="C555" s="28"/>
      <c r="D555" s="28"/>
      <c r="E555" s="12" t="s">
        <v>120</v>
      </c>
      <c r="F555" s="26" t="e">
        <f>ROUND(F554,1)</f>
        <v>#REF!</v>
      </c>
    </row>
    <row r="556" spans="1:6" ht="51">
      <c r="A556" s="5">
        <v>25</v>
      </c>
      <c r="B556" s="3" t="s">
        <v>73</v>
      </c>
      <c r="C556" s="23"/>
      <c r="D556" s="23"/>
      <c r="E556" s="23"/>
      <c r="F556" s="23"/>
    </row>
    <row r="557" spans="1:6">
      <c r="B557" s="20" t="s">
        <v>75</v>
      </c>
      <c r="C557" s="23"/>
      <c r="D557" s="23"/>
      <c r="E557" s="23"/>
      <c r="F557" s="23"/>
    </row>
    <row r="558" spans="1:6">
      <c r="A558" s="5" t="s">
        <v>798</v>
      </c>
      <c r="B558" s="20" t="s">
        <v>799</v>
      </c>
      <c r="C558" s="23"/>
      <c r="D558" s="23"/>
      <c r="E558" s="23"/>
      <c r="F558" s="23"/>
    </row>
    <row r="559" spans="1:6">
      <c r="B559" s="20" t="s">
        <v>76</v>
      </c>
      <c r="C559" s="23"/>
      <c r="D559" s="23"/>
      <c r="E559" s="23"/>
      <c r="F559" s="23"/>
    </row>
    <row r="560" spans="1:6">
      <c r="B560" s="20" t="s">
        <v>800</v>
      </c>
      <c r="C560" s="23"/>
      <c r="D560" s="23"/>
      <c r="E560" s="23"/>
      <c r="F560" s="23"/>
    </row>
    <row r="561" spans="1:6">
      <c r="B561" s="20" t="s">
        <v>77</v>
      </c>
      <c r="C561" s="272">
        <v>0.3</v>
      </c>
      <c r="D561" s="23" t="s">
        <v>25</v>
      </c>
      <c r="E561" s="272">
        <f>ANALYSIS!F107</f>
        <v>3604.7</v>
      </c>
      <c r="F561" s="23">
        <f>C561*E561</f>
        <v>1081.4099999999999</v>
      </c>
    </row>
    <row r="562" spans="1:6">
      <c r="B562" s="20" t="s">
        <v>801</v>
      </c>
      <c r="C562" s="23"/>
      <c r="D562" s="23"/>
      <c r="E562" s="23"/>
      <c r="F562" s="23">
        <f>F561/10</f>
        <v>108.14099999999999</v>
      </c>
    </row>
    <row r="563" spans="1:6">
      <c r="B563" s="13" t="s">
        <v>493</v>
      </c>
      <c r="C563" s="38"/>
      <c r="D563" s="38"/>
      <c r="E563" s="38"/>
      <c r="F563" s="35">
        <f>F562*0.01</f>
        <v>1.08141</v>
      </c>
    </row>
    <row r="564" spans="1:6">
      <c r="B564" s="13" t="s">
        <v>117</v>
      </c>
      <c r="C564" s="38"/>
      <c r="D564" s="38"/>
      <c r="E564" s="38"/>
      <c r="F564" s="35">
        <f>SUM(F562:F563)</f>
        <v>109.22241</v>
      </c>
    </row>
    <row r="565" spans="1:6">
      <c r="B565" s="28"/>
      <c r="C565" s="28"/>
      <c r="D565" s="28"/>
      <c r="E565" s="12" t="s">
        <v>120</v>
      </c>
      <c r="F565" s="26">
        <f>ROUND(F564,1)</f>
        <v>109.2</v>
      </c>
    </row>
    <row r="566" spans="1:6">
      <c r="A566" s="5" t="s">
        <v>802</v>
      </c>
      <c r="B566" s="20" t="s">
        <v>221</v>
      </c>
      <c r="C566" s="23"/>
      <c r="D566" s="23"/>
      <c r="E566" s="23"/>
      <c r="F566" s="23"/>
    </row>
    <row r="567" spans="1:6">
      <c r="B567" s="20" t="s">
        <v>76</v>
      </c>
      <c r="C567" s="23"/>
      <c r="D567" s="23"/>
      <c r="E567" s="23"/>
      <c r="F567" s="23"/>
    </row>
    <row r="568" spans="1:6">
      <c r="B568" s="20" t="s">
        <v>800</v>
      </c>
      <c r="C568" s="23"/>
      <c r="D568" s="23"/>
      <c r="E568" s="23"/>
      <c r="F568" s="23"/>
    </row>
    <row r="569" spans="1:6">
      <c r="B569" s="20" t="s">
        <v>77</v>
      </c>
      <c r="C569" s="23">
        <v>0.47</v>
      </c>
      <c r="D569" s="23" t="s">
        <v>25</v>
      </c>
      <c r="E569" s="23">
        <f>ANALYSIS!F107</f>
        <v>3604.7</v>
      </c>
      <c r="F569" s="23">
        <f>C569*E569</f>
        <v>1694.2089999999998</v>
      </c>
    </row>
    <row r="570" spans="1:6">
      <c r="B570" s="20" t="s">
        <v>801</v>
      </c>
      <c r="C570" s="23"/>
      <c r="D570" s="23"/>
      <c r="E570" s="23"/>
      <c r="F570" s="23">
        <f>F569/10</f>
        <v>169.42089999999999</v>
      </c>
    </row>
    <row r="571" spans="1:6">
      <c r="B571" s="13" t="s">
        <v>493</v>
      </c>
      <c r="C571" s="38"/>
      <c r="D571" s="38"/>
      <c r="E571" s="38"/>
      <c r="F571" s="35">
        <f>F570*0.01</f>
        <v>1.6942089999999999</v>
      </c>
    </row>
    <row r="572" spans="1:6">
      <c r="B572" s="13" t="s">
        <v>117</v>
      </c>
      <c r="C572" s="38"/>
      <c r="D572" s="38"/>
      <c r="E572" s="38"/>
      <c r="F572" s="35">
        <f>SUM(F570:F571)</f>
        <v>171.11510899999999</v>
      </c>
    </row>
    <row r="573" spans="1:6">
      <c r="B573" s="28"/>
      <c r="C573" s="28"/>
      <c r="D573" s="28"/>
      <c r="E573" s="12" t="s">
        <v>120</v>
      </c>
      <c r="F573" s="26">
        <f>ROUND(F572,1)</f>
        <v>171.1</v>
      </c>
    </row>
    <row r="574" spans="1:6">
      <c r="A574" s="5" t="s">
        <v>803</v>
      </c>
      <c r="B574" s="20" t="s">
        <v>804</v>
      </c>
      <c r="C574" s="23"/>
      <c r="D574" s="23"/>
      <c r="E574" s="23"/>
      <c r="F574" s="23"/>
    </row>
    <row r="575" spans="1:6">
      <c r="B575" s="20" t="s">
        <v>76</v>
      </c>
      <c r="C575" s="23"/>
      <c r="D575" s="23"/>
      <c r="E575" s="23"/>
      <c r="F575" s="23"/>
    </row>
    <row r="576" spans="1:6">
      <c r="B576" s="20" t="s">
        <v>800</v>
      </c>
      <c r="C576" s="23"/>
      <c r="D576" s="23"/>
      <c r="E576" s="23"/>
      <c r="F576" s="23"/>
    </row>
    <row r="577" spans="1:6">
      <c r="B577" s="20" t="s">
        <v>77</v>
      </c>
      <c r="C577" s="272">
        <v>0.5</v>
      </c>
      <c r="D577" s="23" t="s">
        <v>25</v>
      </c>
      <c r="E577" s="272">
        <f>ANALYSIS!F107</f>
        <v>3604.7</v>
      </c>
      <c r="F577" s="23">
        <f>C577*E577</f>
        <v>1802.35</v>
      </c>
    </row>
    <row r="578" spans="1:6">
      <c r="B578" s="20" t="s">
        <v>801</v>
      </c>
      <c r="C578" s="23"/>
      <c r="D578" s="23"/>
      <c r="E578" s="23"/>
      <c r="F578" s="23">
        <f>F577/10</f>
        <v>180.23499999999999</v>
      </c>
    </row>
    <row r="579" spans="1:6">
      <c r="B579" s="13" t="s">
        <v>493</v>
      </c>
      <c r="C579" s="38"/>
      <c r="D579" s="38"/>
      <c r="E579" s="38"/>
      <c r="F579" s="35">
        <f>F578*0.01</f>
        <v>1.8023499999999999</v>
      </c>
    </row>
    <row r="580" spans="1:6">
      <c r="B580" s="13" t="s">
        <v>117</v>
      </c>
      <c r="C580" s="38"/>
      <c r="D580" s="38"/>
      <c r="E580" s="38"/>
      <c r="F580" s="35">
        <f>SUM(F578:F579)</f>
        <v>182.03734999999998</v>
      </c>
    </row>
    <row r="581" spans="1:6">
      <c r="B581" s="28"/>
      <c r="C581" s="28"/>
      <c r="D581" s="28"/>
      <c r="E581" s="12" t="s">
        <v>120</v>
      </c>
      <c r="F581" s="26">
        <f>ROUND(F580,1)</f>
        <v>182</v>
      </c>
    </row>
    <row r="582" spans="1:6" ht="51">
      <c r="A582" s="5">
        <v>26</v>
      </c>
      <c r="B582" s="3" t="s">
        <v>222</v>
      </c>
      <c r="C582" s="23"/>
      <c r="D582" s="23"/>
      <c r="E582" s="23"/>
      <c r="F582" s="23"/>
    </row>
    <row r="583" spans="1:6">
      <c r="B583" s="3" t="s">
        <v>74</v>
      </c>
      <c r="C583" s="23"/>
      <c r="D583" s="23"/>
      <c r="E583" s="23"/>
      <c r="F583" s="23"/>
    </row>
    <row r="584" spans="1:6" s="260" customFormat="1">
      <c r="A584" s="256"/>
      <c r="B584" s="261" t="s">
        <v>805</v>
      </c>
      <c r="C584" s="259">
        <v>1</v>
      </c>
      <c r="D584" s="259" t="s">
        <v>56</v>
      </c>
      <c r="E584" s="259">
        <v>430.85</v>
      </c>
      <c r="F584" s="259">
        <f>C584*E584</f>
        <v>430.85</v>
      </c>
    </row>
    <row r="585" spans="1:6" s="264" customFormat="1">
      <c r="A585" s="263"/>
      <c r="B585" s="284" t="s">
        <v>806</v>
      </c>
      <c r="C585" s="272">
        <v>1</v>
      </c>
      <c r="D585" s="272" t="s">
        <v>56</v>
      </c>
      <c r="E585" s="272">
        <v>13.1</v>
      </c>
      <c r="F585" s="272">
        <f>C585*E585</f>
        <v>13.1</v>
      </c>
    </row>
    <row r="586" spans="1:6" ht="15.75" customHeight="1">
      <c r="B586" s="3" t="s">
        <v>807</v>
      </c>
      <c r="C586" s="23"/>
      <c r="D586" s="23"/>
      <c r="E586" s="23"/>
      <c r="F586" s="23"/>
    </row>
    <row r="587" spans="1:6">
      <c r="B587" s="3" t="s">
        <v>223</v>
      </c>
      <c r="C587" s="23"/>
      <c r="D587" s="23"/>
      <c r="E587" s="23"/>
      <c r="F587" s="23"/>
    </row>
    <row r="588" spans="1:6">
      <c r="B588" s="3" t="s">
        <v>243</v>
      </c>
      <c r="C588" s="23"/>
      <c r="D588" s="23"/>
      <c r="E588" s="23"/>
      <c r="F588" s="23"/>
    </row>
    <row r="589" spans="1:6">
      <c r="B589" s="3" t="s">
        <v>244</v>
      </c>
      <c r="C589" s="23"/>
      <c r="D589" s="23"/>
      <c r="E589" s="23"/>
      <c r="F589" s="23"/>
    </row>
    <row r="590" spans="1:6">
      <c r="B590" s="3" t="s">
        <v>224</v>
      </c>
      <c r="C590" s="23"/>
      <c r="D590" s="23"/>
      <c r="E590" s="23"/>
      <c r="F590" s="23"/>
    </row>
    <row r="591" spans="1:6">
      <c r="B591" s="3" t="s">
        <v>245</v>
      </c>
      <c r="C591" s="23">
        <v>7.0000000000000007E-2</v>
      </c>
      <c r="D591" s="23" t="s">
        <v>25</v>
      </c>
      <c r="E591" s="23">
        <f>ANALYSIS!F127</f>
        <v>4044.7</v>
      </c>
      <c r="F591" s="23">
        <f>C591*E591</f>
        <v>283.12900000000002</v>
      </c>
    </row>
    <row r="592" spans="1:6" ht="38.25">
      <c r="B592" s="3" t="s">
        <v>659</v>
      </c>
      <c r="C592" s="23"/>
      <c r="D592" s="23"/>
      <c r="E592" s="23"/>
      <c r="F592" s="23"/>
    </row>
    <row r="593" spans="1:8">
      <c r="B593" s="3" t="s">
        <v>225</v>
      </c>
      <c r="C593" s="23">
        <v>0.12</v>
      </c>
      <c r="D593" s="23" t="s">
        <v>25</v>
      </c>
      <c r="E593" s="23">
        <f>ANALYSIS!F170</f>
        <v>41.850938000000006</v>
      </c>
      <c r="F593" s="23">
        <f>C593*E593</f>
        <v>5.0221125600000009</v>
      </c>
    </row>
    <row r="594" spans="1:8" ht="25.5">
      <c r="B594" s="3" t="s">
        <v>902</v>
      </c>
      <c r="C594" s="23"/>
      <c r="D594" s="23"/>
      <c r="E594" s="23"/>
      <c r="F594" s="23"/>
    </row>
    <row r="595" spans="1:8">
      <c r="B595" s="3" t="s">
        <v>226</v>
      </c>
      <c r="C595" s="23">
        <v>0.25</v>
      </c>
      <c r="D595" s="23" t="s">
        <v>32</v>
      </c>
      <c r="E595" s="23">
        <f>ANALYSIS!F682+ANALYSIS!F641</f>
        <v>11.267925</v>
      </c>
      <c r="F595" s="23">
        <f>C595*E595</f>
        <v>2.81698125</v>
      </c>
    </row>
    <row r="596" spans="1:8">
      <c r="B596" s="3" t="s">
        <v>227</v>
      </c>
      <c r="C596" s="23"/>
      <c r="D596" s="23"/>
      <c r="E596" s="23"/>
      <c r="F596" s="23"/>
    </row>
    <row r="597" spans="1:8">
      <c r="B597" s="3" t="s">
        <v>228</v>
      </c>
      <c r="C597" s="23">
        <v>0.02</v>
      </c>
      <c r="D597" s="23" t="s">
        <v>25</v>
      </c>
      <c r="E597" s="272">
        <f>ANALYSIS!F567</f>
        <v>0</v>
      </c>
      <c r="F597" s="23">
        <f>C597*E597</f>
        <v>0</v>
      </c>
    </row>
    <row r="598" spans="1:8" ht="38.25">
      <c r="B598" s="3" t="s">
        <v>229</v>
      </c>
      <c r="C598" s="23"/>
      <c r="D598" s="23"/>
      <c r="E598" s="23"/>
      <c r="F598" s="23"/>
    </row>
    <row r="599" spans="1:8">
      <c r="B599" s="3" t="s">
        <v>230</v>
      </c>
      <c r="C599" s="23">
        <v>1.4E-2</v>
      </c>
      <c r="D599" s="23" t="s">
        <v>53</v>
      </c>
      <c r="E599" s="16">
        <f>ANALYSIS!F618</f>
        <v>109.2</v>
      </c>
      <c r="F599" s="23">
        <f>C599*E599</f>
        <v>1.5288000000000002</v>
      </c>
    </row>
    <row r="600" spans="1:8" ht="25.5">
      <c r="B600" s="3" t="s">
        <v>903</v>
      </c>
      <c r="C600" s="23"/>
      <c r="D600" s="23"/>
      <c r="E600" s="23"/>
      <c r="F600" s="23"/>
      <c r="H600" s="39"/>
    </row>
    <row r="601" spans="1:8">
      <c r="B601" s="3" t="s">
        <v>808</v>
      </c>
      <c r="C601" s="23">
        <v>0.78</v>
      </c>
      <c r="D601" s="23" t="s">
        <v>25</v>
      </c>
      <c r="E601" s="272">
        <f>ANALYSIS!F16+ANALYSIS!F22</f>
        <v>138.80000000000001</v>
      </c>
      <c r="F601" s="23">
        <f>C601*E601</f>
        <v>108.26400000000001</v>
      </c>
    </row>
    <row r="602" spans="1:8">
      <c r="B602" s="3"/>
      <c r="C602" s="23"/>
      <c r="D602" s="23"/>
      <c r="E602" s="23"/>
      <c r="F602" s="262" t="s">
        <v>30</v>
      </c>
    </row>
    <row r="603" spans="1:8">
      <c r="B603" s="3" t="s">
        <v>809</v>
      </c>
      <c r="C603" s="23"/>
      <c r="D603" s="23"/>
      <c r="E603" s="23"/>
      <c r="F603" s="23">
        <f>SUM(F584:F601)</f>
        <v>844.71089381000013</v>
      </c>
    </row>
    <row r="604" spans="1:8">
      <c r="B604" s="13" t="s">
        <v>493</v>
      </c>
      <c r="C604" s="38"/>
      <c r="D604" s="38"/>
      <c r="E604" s="38"/>
      <c r="F604" s="35">
        <f>F603*0.01</f>
        <v>8.4471089381000013</v>
      </c>
    </row>
    <row r="605" spans="1:8">
      <c r="B605" s="13" t="s">
        <v>117</v>
      </c>
      <c r="C605" s="38"/>
      <c r="D605" s="38"/>
      <c r="E605" s="38"/>
      <c r="F605" s="35">
        <f>SUM(F603:F604)</f>
        <v>853.1580027481001</v>
      </c>
    </row>
    <row r="606" spans="1:8">
      <c r="B606" s="28"/>
      <c r="C606" s="28"/>
      <c r="D606" s="28"/>
      <c r="E606" s="12" t="s">
        <v>120</v>
      </c>
      <c r="F606" s="26">
        <f>ROUND(F605,1)</f>
        <v>853.2</v>
      </c>
    </row>
    <row r="607" spans="1:8" ht="25.5" hidden="1">
      <c r="A607" s="5">
        <v>32</v>
      </c>
      <c r="B607" s="3" t="s">
        <v>321</v>
      </c>
      <c r="C607" s="23"/>
      <c r="D607" s="23"/>
      <c r="E607" s="23"/>
      <c r="F607" s="26"/>
    </row>
    <row r="608" spans="1:8" ht="25.5" hidden="1">
      <c r="B608" s="30" t="s">
        <v>231</v>
      </c>
      <c r="C608" s="23"/>
      <c r="D608" s="23"/>
      <c r="E608" s="23"/>
      <c r="F608" s="23"/>
    </row>
    <row r="609" spans="2:9" hidden="1">
      <c r="B609" s="20" t="s">
        <v>253</v>
      </c>
      <c r="C609" s="23">
        <v>2.15</v>
      </c>
      <c r="D609" s="23" t="s">
        <v>25</v>
      </c>
      <c r="E609" s="23">
        <v>57.8</v>
      </c>
      <c r="F609" s="23">
        <f>C609*E609</f>
        <v>124.26999999999998</v>
      </c>
      <c r="I609" s="20">
        <f>1.68-0.76</f>
        <v>0.91999999999999993</v>
      </c>
    </row>
    <row r="610" spans="2:9" hidden="1">
      <c r="B610" s="20" t="s">
        <v>254</v>
      </c>
      <c r="C610" s="23"/>
      <c r="D610" s="23"/>
      <c r="E610" s="23"/>
      <c r="F610" s="26"/>
      <c r="I610" s="20">
        <f>1.57-0.76</f>
        <v>0.81</v>
      </c>
    </row>
    <row r="611" spans="2:9" hidden="1">
      <c r="B611" s="20" t="s">
        <v>255</v>
      </c>
      <c r="C611" s="23">
        <v>0.37</v>
      </c>
      <c r="D611" s="23" t="s">
        <v>25</v>
      </c>
      <c r="E611" s="23" t="e">
        <f>#REF!</f>
        <v>#REF!</v>
      </c>
      <c r="F611" s="23" t="e">
        <f>C611*E611</f>
        <v>#REF!</v>
      </c>
    </row>
    <row r="612" spans="2:9" hidden="1">
      <c r="B612" s="20" t="s">
        <v>256</v>
      </c>
      <c r="C612" s="23"/>
      <c r="D612" s="16"/>
      <c r="E612" s="23"/>
      <c r="F612" s="23"/>
    </row>
    <row r="613" spans="2:9" hidden="1">
      <c r="B613" s="20" t="s">
        <v>257</v>
      </c>
      <c r="C613" s="23">
        <v>8.6999999999999994E-2</v>
      </c>
      <c r="D613" s="23" t="s">
        <v>25</v>
      </c>
      <c r="E613" s="23">
        <f>E597</f>
        <v>0</v>
      </c>
      <c r="F613" s="23">
        <f>C613*E613</f>
        <v>0</v>
      </c>
    </row>
    <row r="614" spans="2:9" hidden="1">
      <c r="B614" s="20" t="s">
        <v>810</v>
      </c>
      <c r="C614" s="23"/>
      <c r="D614" s="23"/>
      <c r="E614" s="23"/>
      <c r="F614" s="26"/>
    </row>
    <row r="615" spans="2:9" hidden="1">
      <c r="B615" s="20" t="s">
        <v>258</v>
      </c>
      <c r="C615" s="23">
        <v>0.46700000000000003</v>
      </c>
      <c r="D615" s="23" t="s">
        <v>25</v>
      </c>
      <c r="E615" s="23">
        <f>E593</f>
        <v>41.850938000000006</v>
      </c>
      <c r="F615" s="23">
        <f>C615*E615</f>
        <v>19.544388046000005</v>
      </c>
    </row>
    <row r="616" spans="2:9" hidden="1">
      <c r="B616" s="20" t="s">
        <v>259</v>
      </c>
      <c r="C616" s="23">
        <v>2.2160000000000002</v>
      </c>
      <c r="D616" s="23" t="s">
        <v>32</v>
      </c>
      <c r="E616" s="23">
        <v>76.3</v>
      </c>
      <c r="F616" s="23">
        <f>C616*E616</f>
        <v>169.08080000000001</v>
      </c>
    </row>
    <row r="617" spans="2:9" hidden="1">
      <c r="B617" s="20" t="s">
        <v>260</v>
      </c>
      <c r="C617" s="23">
        <v>2.2160000000000002</v>
      </c>
      <c r="D617" s="23" t="s">
        <v>32</v>
      </c>
      <c r="E617" s="23">
        <v>14</v>
      </c>
      <c r="F617" s="23">
        <f>C617*E617</f>
        <v>31.024000000000001</v>
      </c>
    </row>
    <row r="618" spans="2:9" hidden="1">
      <c r="B618" s="20" t="s">
        <v>261</v>
      </c>
      <c r="C618" s="23">
        <v>2.34</v>
      </c>
      <c r="D618" s="23" t="s">
        <v>32</v>
      </c>
      <c r="E618" s="23">
        <v>59</v>
      </c>
      <c r="F618" s="23">
        <f>C618*E618</f>
        <v>138.06</v>
      </c>
    </row>
    <row r="619" spans="2:9" hidden="1">
      <c r="B619" s="20" t="s">
        <v>250</v>
      </c>
      <c r="C619" s="23"/>
      <c r="D619" s="23"/>
      <c r="E619" s="23"/>
      <c r="F619" s="26"/>
    </row>
    <row r="620" spans="2:9" hidden="1">
      <c r="B620" s="20" t="s">
        <v>58</v>
      </c>
      <c r="C620" s="23">
        <v>0.25</v>
      </c>
      <c r="D620" s="23" t="s">
        <v>24</v>
      </c>
      <c r="E620" s="23">
        <v>190</v>
      </c>
      <c r="F620" s="23">
        <f>C620*E620</f>
        <v>47.5</v>
      </c>
    </row>
    <row r="621" spans="2:9" hidden="1">
      <c r="B621" s="20" t="s">
        <v>51</v>
      </c>
      <c r="C621" s="23">
        <v>0.25</v>
      </c>
      <c r="D621" s="23" t="s">
        <v>24</v>
      </c>
      <c r="E621" s="23">
        <v>150</v>
      </c>
      <c r="F621" s="23">
        <f>C621*E621</f>
        <v>37.5</v>
      </c>
    </row>
    <row r="622" spans="2:9" hidden="1">
      <c r="B622" s="20" t="s">
        <v>811</v>
      </c>
      <c r="C622" s="23"/>
      <c r="D622" s="23"/>
      <c r="E622" s="14">
        <f>F620+F621</f>
        <v>85</v>
      </c>
      <c r="F622" s="16"/>
    </row>
    <row r="623" spans="2:9" hidden="1">
      <c r="B623" s="21" t="s">
        <v>812</v>
      </c>
      <c r="C623" s="23"/>
      <c r="D623" s="23"/>
      <c r="E623" s="23"/>
      <c r="F623" s="23">
        <f>E622*0.125</f>
        <v>10.625</v>
      </c>
    </row>
    <row r="624" spans="2:9" hidden="1">
      <c r="B624" s="20" t="s">
        <v>813</v>
      </c>
      <c r="C624" s="23"/>
      <c r="D624" s="23"/>
      <c r="E624" s="23"/>
      <c r="F624" s="23">
        <f>E622*0.02</f>
        <v>1.7</v>
      </c>
    </row>
    <row r="625" spans="1:6" ht="25.5" hidden="1">
      <c r="B625" s="21" t="s">
        <v>248</v>
      </c>
      <c r="C625" s="23">
        <v>0.129</v>
      </c>
      <c r="D625" s="23" t="s">
        <v>25</v>
      </c>
      <c r="E625" s="23">
        <f>E613</f>
        <v>0</v>
      </c>
      <c r="F625" s="23">
        <f>C625*E625</f>
        <v>0</v>
      </c>
    </row>
    <row r="626" spans="1:6" hidden="1">
      <c r="B626" s="21" t="s">
        <v>262</v>
      </c>
      <c r="C626" s="23">
        <v>0.98</v>
      </c>
      <c r="D626" s="23" t="s">
        <v>32</v>
      </c>
      <c r="E626" s="23">
        <f>[2]Sheet7!F211</f>
        <v>274.99321891555553</v>
      </c>
      <c r="F626" s="23">
        <f>C626*E626</f>
        <v>269.49335453724444</v>
      </c>
    </row>
    <row r="627" spans="1:6" hidden="1">
      <c r="B627" s="21" t="s">
        <v>263</v>
      </c>
      <c r="C627" s="23">
        <v>0.1804</v>
      </c>
      <c r="D627" s="23" t="s">
        <v>53</v>
      </c>
      <c r="E627" s="23">
        <f>E599</f>
        <v>109.2</v>
      </c>
      <c r="F627" s="23">
        <f>C627*E627</f>
        <v>19.699680000000001</v>
      </c>
    </row>
    <row r="628" spans="1:6" hidden="1">
      <c r="B628" s="20"/>
      <c r="C628" s="23"/>
      <c r="D628" s="23"/>
      <c r="E628" s="23"/>
      <c r="F628" s="23" t="e">
        <f>SUM(F609:F627)</f>
        <v>#REF!</v>
      </c>
    </row>
    <row r="629" spans="1:6" hidden="1">
      <c r="B629" s="13" t="s">
        <v>493</v>
      </c>
      <c r="C629" s="38"/>
      <c r="D629" s="38"/>
      <c r="E629" s="38"/>
      <c r="F629" s="35" t="e">
        <f>F628*0.01</f>
        <v>#REF!</v>
      </c>
    </row>
    <row r="630" spans="1:6" hidden="1">
      <c r="B630" s="13" t="s">
        <v>117</v>
      </c>
      <c r="C630" s="38"/>
      <c r="D630" s="38"/>
      <c r="E630" s="38"/>
      <c r="F630" s="35" t="e">
        <f>SUM(F628:F629)</f>
        <v>#REF!</v>
      </c>
    </row>
    <row r="631" spans="1:6" hidden="1">
      <c r="B631" s="28"/>
      <c r="C631" s="28"/>
      <c r="D631" s="28"/>
      <c r="E631" s="12" t="s">
        <v>120</v>
      </c>
      <c r="F631" s="26" t="e">
        <f>ROUND(F630,1)</f>
        <v>#REF!</v>
      </c>
    </row>
    <row r="632" spans="1:6" ht="25.5">
      <c r="A632" s="5">
        <v>27</v>
      </c>
      <c r="B632" s="3" t="s">
        <v>814</v>
      </c>
      <c r="C632" s="23"/>
      <c r="D632" s="23"/>
      <c r="E632" s="23"/>
      <c r="F632" s="151"/>
    </row>
    <row r="633" spans="1:6" ht="25.5">
      <c r="B633" s="30" t="s">
        <v>815</v>
      </c>
      <c r="C633" s="23"/>
      <c r="D633" s="23"/>
      <c r="E633" s="23"/>
      <c r="F633" s="23"/>
    </row>
    <row r="634" spans="1:6">
      <c r="B634" s="20" t="s">
        <v>816</v>
      </c>
      <c r="C634" s="23">
        <v>1.37</v>
      </c>
      <c r="D634" s="23" t="s">
        <v>25</v>
      </c>
      <c r="E634" s="23">
        <v>66.900000000000006</v>
      </c>
      <c r="F634" s="23">
        <f>C634*E634</f>
        <v>91.65300000000002</v>
      </c>
    </row>
    <row r="635" spans="1:6">
      <c r="B635" s="20" t="s">
        <v>254</v>
      </c>
      <c r="C635" s="23"/>
      <c r="D635" s="23"/>
      <c r="E635" s="23"/>
      <c r="F635" s="26"/>
    </row>
    <row r="636" spans="1:6">
      <c r="B636" s="20" t="s">
        <v>817</v>
      </c>
      <c r="C636" s="23">
        <v>0.25</v>
      </c>
      <c r="D636" s="23" t="s">
        <v>25</v>
      </c>
      <c r="E636" s="23">
        <v>4474.2</v>
      </c>
      <c r="F636" s="23">
        <f>C636*E636</f>
        <v>1118.55</v>
      </c>
    </row>
    <row r="637" spans="1:6">
      <c r="B637" s="20" t="s">
        <v>256</v>
      </c>
      <c r="C637" s="23"/>
      <c r="D637" s="16"/>
      <c r="E637" s="23"/>
      <c r="F637" s="23"/>
    </row>
    <row r="638" spans="1:6">
      <c r="B638" s="20" t="s">
        <v>818</v>
      </c>
      <c r="C638" s="23">
        <f>0.45*0.45*0.15</f>
        <v>3.0374999999999999E-2</v>
      </c>
      <c r="D638" s="23" t="s">
        <v>25</v>
      </c>
      <c r="E638" s="272">
        <f>ANALYSIS!F148</f>
        <v>5684.7</v>
      </c>
      <c r="F638" s="23">
        <f>C638*E638</f>
        <v>172.67276249999998</v>
      </c>
    </row>
    <row r="639" spans="1:6">
      <c r="B639" s="20" t="s">
        <v>810</v>
      </c>
      <c r="C639" s="23"/>
      <c r="D639" s="23"/>
      <c r="E639" s="23"/>
      <c r="F639" s="26"/>
    </row>
    <row r="640" spans="1:6">
      <c r="B640" s="20" t="s">
        <v>819</v>
      </c>
      <c r="C640" s="23">
        <v>0.35</v>
      </c>
      <c r="D640" s="23" t="s">
        <v>25</v>
      </c>
      <c r="E640" s="23">
        <f>ANALYSIS!F170</f>
        <v>41.850938000000006</v>
      </c>
      <c r="F640" s="23">
        <f>C640*E640</f>
        <v>14.6478283</v>
      </c>
    </row>
    <row r="641" spans="1:6">
      <c r="B641" s="20" t="s">
        <v>904</v>
      </c>
      <c r="C641" s="23">
        <v>1.1100000000000001</v>
      </c>
      <c r="D641" s="23" t="s">
        <v>32</v>
      </c>
      <c r="E641" s="23">
        <f>ANALYSIS!F682</f>
        <v>2.9808000000000003</v>
      </c>
      <c r="F641" s="23">
        <f>C641*E641</f>
        <v>3.3086880000000005</v>
      </c>
    </row>
    <row r="642" spans="1:6">
      <c r="B642" s="20" t="s">
        <v>260</v>
      </c>
      <c r="C642" s="23">
        <v>1.1100000000000001</v>
      </c>
      <c r="D642" s="23" t="s">
        <v>32</v>
      </c>
      <c r="E642" s="272">
        <f>ANALYSIS!F641</f>
        <v>8.2871249999999996</v>
      </c>
      <c r="F642" s="23">
        <f>C642*E642</f>
        <v>9.1987087499999998</v>
      </c>
    </row>
    <row r="643" spans="1:6">
      <c r="B643" s="20" t="s">
        <v>261</v>
      </c>
      <c r="C643" s="23">
        <v>1.34</v>
      </c>
      <c r="D643" s="23" t="s">
        <v>32</v>
      </c>
      <c r="E643" s="272" t="e">
        <f>ANALYSIS!#REF!</f>
        <v>#REF!</v>
      </c>
      <c r="F643" s="23" t="e">
        <f>C643*E643</f>
        <v>#REF!</v>
      </c>
    </row>
    <row r="644" spans="1:6">
      <c r="B644" s="20" t="s">
        <v>250</v>
      </c>
      <c r="C644" s="23"/>
      <c r="D644" s="23"/>
      <c r="E644" s="23"/>
      <c r="F644" s="26"/>
    </row>
    <row r="645" spans="1:6">
      <c r="B645" s="20" t="s">
        <v>58</v>
      </c>
      <c r="C645" s="23">
        <v>0.25</v>
      </c>
      <c r="D645" s="23" t="s">
        <v>24</v>
      </c>
      <c r="E645" s="23" t="e">
        <f>Lead!#REF!</f>
        <v>#REF!</v>
      </c>
      <c r="F645" s="23" t="e">
        <f>C645*E645</f>
        <v>#REF!</v>
      </c>
    </row>
    <row r="646" spans="1:6">
      <c r="B646" s="20" t="s">
        <v>51</v>
      </c>
      <c r="C646" s="23">
        <v>0.25</v>
      </c>
      <c r="D646" s="23" t="s">
        <v>24</v>
      </c>
      <c r="E646" s="23" t="e">
        <f>Lead!#REF!</f>
        <v>#REF!</v>
      </c>
      <c r="F646" s="23" t="e">
        <f>C646*E646</f>
        <v>#REF!</v>
      </c>
    </row>
    <row r="647" spans="1:6">
      <c r="B647" s="20" t="s">
        <v>811</v>
      </c>
      <c r="C647" s="23"/>
      <c r="D647" s="23"/>
      <c r="E647" s="14" t="e">
        <f>F645+F646</f>
        <v>#REF!</v>
      </c>
      <c r="F647" s="16"/>
    </row>
    <row r="648" spans="1:6">
      <c r="B648" s="21" t="s">
        <v>820</v>
      </c>
      <c r="C648" s="23"/>
      <c r="D648" s="23"/>
      <c r="E648" s="23"/>
      <c r="F648" s="23" t="e">
        <f>E647*0.15</f>
        <v>#REF!</v>
      </c>
    </row>
    <row r="649" spans="1:6" ht="25.5">
      <c r="B649" s="21" t="s">
        <v>908</v>
      </c>
      <c r="C649" s="23">
        <v>0.129</v>
      </c>
      <c r="D649" s="23" t="s">
        <v>25</v>
      </c>
      <c r="E649" s="272">
        <f>ANALYSIS!F574</f>
        <v>780</v>
      </c>
      <c r="F649" s="23">
        <f>C649*E649</f>
        <v>100.62</v>
      </c>
    </row>
    <row r="650" spans="1:6">
      <c r="B650" s="21" t="s">
        <v>821</v>
      </c>
      <c r="C650" s="23">
        <v>0.1804</v>
      </c>
      <c r="D650" s="23" t="s">
        <v>53</v>
      </c>
      <c r="E650" s="23">
        <f>ANALYSIS!F618</f>
        <v>109.2</v>
      </c>
      <c r="F650" s="23">
        <f>C650*E650</f>
        <v>19.699680000000001</v>
      </c>
    </row>
    <row r="651" spans="1:6">
      <c r="B651" s="20"/>
      <c r="C651" s="23"/>
      <c r="D651" s="23"/>
      <c r="E651" s="23"/>
      <c r="F651" s="23" t="e">
        <f>SUM(F634:F650)</f>
        <v>#REF!</v>
      </c>
    </row>
    <row r="652" spans="1:6">
      <c r="B652" s="13" t="s">
        <v>493</v>
      </c>
      <c r="C652" s="38"/>
      <c r="D652" s="38"/>
      <c r="E652" s="38"/>
      <c r="F652" s="35" t="e">
        <f>F651*0.01</f>
        <v>#REF!</v>
      </c>
    </row>
    <row r="653" spans="1:6">
      <c r="B653" s="13" t="s">
        <v>117</v>
      </c>
      <c r="C653" s="38"/>
      <c r="D653" s="38"/>
      <c r="E653" s="38"/>
      <c r="F653" s="35" t="e">
        <f>SUM(F651:F652)</f>
        <v>#REF!</v>
      </c>
    </row>
    <row r="654" spans="1:6">
      <c r="B654" s="28"/>
      <c r="C654" s="28"/>
      <c r="D654" s="28"/>
      <c r="E654" s="12" t="s">
        <v>120</v>
      </c>
      <c r="F654" s="26" t="e">
        <f>ROUND(F653,1)</f>
        <v>#REF!</v>
      </c>
    </row>
    <row r="655" spans="1:6" ht="38.25">
      <c r="A655" s="5">
        <v>28</v>
      </c>
      <c r="B655" s="3" t="s">
        <v>822</v>
      </c>
      <c r="C655" s="23"/>
      <c r="D655" s="23"/>
      <c r="E655" s="23"/>
      <c r="F655" s="23"/>
    </row>
    <row r="656" spans="1:6" ht="25.5">
      <c r="B656" s="30" t="s">
        <v>231</v>
      </c>
      <c r="C656" s="23"/>
      <c r="D656" s="23"/>
      <c r="E656" s="23"/>
      <c r="F656" s="23"/>
    </row>
    <row r="657" spans="2:6">
      <c r="B657" s="20" t="s">
        <v>823</v>
      </c>
      <c r="C657" s="23">
        <v>2.58</v>
      </c>
      <c r="D657" s="23" t="s">
        <v>25</v>
      </c>
      <c r="E657" s="23">
        <v>57.8</v>
      </c>
      <c r="F657" s="23">
        <f>C657*E657</f>
        <v>149.124</v>
      </c>
    </row>
    <row r="658" spans="2:6">
      <c r="B658" s="20" t="s">
        <v>246</v>
      </c>
      <c r="C658" s="23"/>
      <c r="D658" s="23"/>
      <c r="E658" s="23"/>
      <c r="F658" s="23"/>
    </row>
    <row r="659" spans="2:6">
      <c r="B659" s="33" t="s">
        <v>824</v>
      </c>
      <c r="C659" s="23">
        <v>0.56999999999999995</v>
      </c>
      <c r="D659" s="23" t="s">
        <v>25</v>
      </c>
      <c r="E659" s="23">
        <f>ANALYSIS!F107</f>
        <v>3604.7</v>
      </c>
      <c r="F659" s="23">
        <f>C659*E659</f>
        <v>2054.6789999999996</v>
      </c>
    </row>
    <row r="660" spans="2:6">
      <c r="B660" s="20" t="s">
        <v>810</v>
      </c>
      <c r="C660" s="23"/>
      <c r="D660" s="23"/>
      <c r="E660" s="23"/>
      <c r="F660" s="23"/>
    </row>
    <row r="661" spans="2:6">
      <c r="B661" s="20" t="s">
        <v>825</v>
      </c>
      <c r="C661" s="302">
        <v>1.0309999999999999</v>
      </c>
      <c r="D661" s="23" t="s">
        <v>25</v>
      </c>
      <c r="E661" s="23">
        <f>ANALYSIS!F170</f>
        <v>41.850938000000006</v>
      </c>
      <c r="F661" s="23">
        <f>C661*E661</f>
        <v>43.148317078000005</v>
      </c>
    </row>
    <row r="662" spans="2:6">
      <c r="B662" s="20" t="s">
        <v>247</v>
      </c>
      <c r="C662" s="23"/>
      <c r="D662" s="23"/>
      <c r="E662" s="23"/>
      <c r="F662" s="23"/>
    </row>
    <row r="663" spans="2:6">
      <c r="B663" s="20" t="s">
        <v>826</v>
      </c>
      <c r="C663" s="23">
        <v>0.32</v>
      </c>
      <c r="D663" s="23" t="s">
        <v>25</v>
      </c>
      <c r="E663" s="23">
        <f>ANALYSIS!F148</f>
        <v>5684.7</v>
      </c>
      <c r="F663" s="23">
        <f>C663*E663</f>
        <v>1819.104</v>
      </c>
    </row>
    <row r="664" spans="2:6" ht="25.5">
      <c r="B664" s="30" t="s">
        <v>909</v>
      </c>
      <c r="C664" s="23"/>
      <c r="D664" s="23"/>
      <c r="E664" s="23"/>
      <c r="F664" s="23"/>
    </row>
    <row r="665" spans="2:6">
      <c r="B665" s="20" t="s">
        <v>78</v>
      </c>
      <c r="C665" s="23">
        <v>2.19</v>
      </c>
      <c r="D665" s="23" t="s">
        <v>32</v>
      </c>
      <c r="E665" s="23">
        <f>ANALYSIS!F641+ANALYSIS!F682</f>
        <v>11.267925</v>
      </c>
      <c r="F665" s="23">
        <f>C665*E665</f>
        <v>24.676755749999998</v>
      </c>
    </row>
    <row r="666" spans="2:6">
      <c r="B666" s="21" t="s">
        <v>910</v>
      </c>
      <c r="C666" s="23"/>
      <c r="D666" s="23"/>
      <c r="E666" s="23"/>
      <c r="F666" s="23"/>
    </row>
    <row r="667" spans="2:6">
      <c r="B667" s="20" t="s">
        <v>827</v>
      </c>
      <c r="C667" s="23">
        <v>4.96</v>
      </c>
      <c r="D667" s="23" t="s">
        <v>32</v>
      </c>
      <c r="E667" s="23">
        <f>ANALYSIS!F682</f>
        <v>2.9808000000000003</v>
      </c>
      <c r="F667" s="23">
        <f>C667*E667</f>
        <v>14.784768000000001</v>
      </c>
    </row>
    <row r="668" spans="2:6" ht="25.5">
      <c r="B668" s="21" t="s">
        <v>911</v>
      </c>
    </row>
    <row r="669" spans="2:6">
      <c r="B669" s="20" t="s">
        <v>828</v>
      </c>
      <c r="C669" s="23">
        <v>0.25</v>
      </c>
      <c r="D669" s="23" t="s">
        <v>25</v>
      </c>
      <c r="E669" s="23">
        <f>ANALYSIS!F574</f>
        <v>780</v>
      </c>
      <c r="F669" s="23">
        <f>C669*E669</f>
        <v>195</v>
      </c>
    </row>
    <row r="670" spans="2:6" ht="25.5">
      <c r="B670" s="21" t="s">
        <v>249</v>
      </c>
      <c r="C670" s="23"/>
      <c r="D670" s="23"/>
      <c r="E670" s="23"/>
      <c r="F670" s="23"/>
    </row>
    <row r="671" spans="2:6">
      <c r="B671" t="s">
        <v>829</v>
      </c>
      <c r="C671" s="23">
        <v>0.32</v>
      </c>
      <c r="D671" s="23" t="s">
        <v>69</v>
      </c>
      <c r="E671" s="16">
        <f>ANALYSIS!F618</f>
        <v>109.2</v>
      </c>
      <c r="F671" s="23">
        <f>C671*E671</f>
        <v>34.944000000000003</v>
      </c>
    </row>
    <row r="672" spans="2:6" ht="25.5">
      <c r="B672" s="21" t="s">
        <v>830</v>
      </c>
      <c r="C672" s="23">
        <v>1</v>
      </c>
      <c r="D672" s="23" t="s">
        <v>24</v>
      </c>
      <c r="E672" s="23">
        <v>200</v>
      </c>
      <c r="F672" s="16">
        <f>E672*C672</f>
        <v>200</v>
      </c>
    </row>
    <row r="673" spans="1:6">
      <c r="B673" s="20" t="s">
        <v>250</v>
      </c>
      <c r="C673" s="23"/>
      <c r="D673" s="23"/>
      <c r="E673" s="23"/>
      <c r="F673" s="23"/>
    </row>
    <row r="674" spans="1:6">
      <c r="B674" s="21" t="s">
        <v>251</v>
      </c>
      <c r="C674" s="23">
        <v>0.08</v>
      </c>
      <c r="D674" s="23" t="s">
        <v>64</v>
      </c>
      <c r="E674" s="23" t="e">
        <f>Lead!#REF!</f>
        <v>#REF!</v>
      </c>
      <c r="F674" s="23" t="e">
        <f>C674*E674</f>
        <v>#REF!</v>
      </c>
    </row>
    <row r="675" spans="1:6">
      <c r="B675" s="20" t="s">
        <v>252</v>
      </c>
      <c r="C675" s="23">
        <v>0.08</v>
      </c>
      <c r="D675" s="23" t="s">
        <v>64</v>
      </c>
      <c r="E675" s="23" t="e">
        <f>Lead!#REF!</f>
        <v>#REF!</v>
      </c>
      <c r="F675" s="23" t="e">
        <f>C675*E675</f>
        <v>#REF!</v>
      </c>
    </row>
    <row r="676" spans="1:6">
      <c r="B676" s="20" t="s">
        <v>811</v>
      </c>
      <c r="C676" s="23"/>
      <c r="D676" s="23"/>
      <c r="E676" s="23" t="e">
        <f>SUM(F674:F675)</f>
        <v>#REF!</v>
      </c>
      <c r="F676" s="16"/>
    </row>
    <row r="677" spans="1:6">
      <c r="B677" s="21" t="s">
        <v>820</v>
      </c>
      <c r="C677" s="23"/>
      <c r="D677" s="23"/>
      <c r="E677" s="23"/>
      <c r="F677" s="23" t="e">
        <f>E676*0.15</f>
        <v>#REF!</v>
      </c>
    </row>
    <row r="678" spans="1:6">
      <c r="B678" s="20" t="s">
        <v>831</v>
      </c>
      <c r="C678" s="23"/>
      <c r="D678" s="23"/>
      <c r="E678" s="23"/>
      <c r="F678" s="23" t="e">
        <f>SUM(F657:F677)</f>
        <v>#REF!</v>
      </c>
    </row>
    <row r="679" spans="1:6">
      <c r="B679" s="13" t="s">
        <v>493</v>
      </c>
      <c r="C679" s="38"/>
      <c r="D679" s="38"/>
      <c r="E679" s="38"/>
      <c r="F679" s="35" t="e">
        <f>F678*0.01</f>
        <v>#REF!</v>
      </c>
    </row>
    <row r="680" spans="1:6">
      <c r="B680" s="13" t="s">
        <v>117</v>
      </c>
      <c r="C680" s="38"/>
      <c r="D680" s="38"/>
      <c r="E680" s="38"/>
      <c r="F680" s="35" t="e">
        <f>SUM(F678:F679)</f>
        <v>#REF!</v>
      </c>
    </row>
    <row r="681" spans="1:6">
      <c r="B681" s="28"/>
      <c r="C681" s="28"/>
      <c r="D681" s="28"/>
      <c r="E681" s="12" t="s">
        <v>120</v>
      </c>
      <c r="F681" s="26" t="e">
        <f>ROUND(F680,1)</f>
        <v>#REF!</v>
      </c>
    </row>
    <row r="682" spans="1:6">
      <c r="A682" s="5">
        <v>29</v>
      </c>
      <c r="B682" s="20" t="s">
        <v>832</v>
      </c>
      <c r="C682" s="23"/>
      <c r="D682" s="23"/>
      <c r="E682" s="23"/>
      <c r="F682" s="26"/>
    </row>
    <row r="683" spans="1:6">
      <c r="B683" s="30" t="s">
        <v>367</v>
      </c>
      <c r="C683" s="23">
        <v>8.91</v>
      </c>
      <c r="D683" s="23" t="s">
        <v>25</v>
      </c>
      <c r="E683" s="272">
        <v>57.8</v>
      </c>
      <c r="F683" s="14">
        <f>E683*C683</f>
        <v>514.99799999999993</v>
      </c>
    </row>
    <row r="684" spans="1:6">
      <c r="B684" s="30" t="s">
        <v>368</v>
      </c>
      <c r="C684" s="23">
        <v>3.86</v>
      </c>
      <c r="D684" s="23" t="s">
        <v>25</v>
      </c>
      <c r="E684" s="272">
        <v>90.6</v>
      </c>
      <c r="F684" s="14">
        <f>E684*C684</f>
        <v>349.71599999999995</v>
      </c>
    </row>
    <row r="685" spans="1:6">
      <c r="B685" s="20" t="s">
        <v>369</v>
      </c>
      <c r="C685" s="23">
        <v>5.0250000000000004</v>
      </c>
      <c r="D685" s="23" t="s">
        <v>25</v>
      </c>
      <c r="E685" s="272">
        <v>2108.6999999999998</v>
      </c>
      <c r="F685" s="23">
        <f t="shared" ref="F685:F691" si="3">C685*E685</f>
        <v>10596.217500000001</v>
      </c>
    </row>
    <row r="686" spans="1:6">
      <c r="B686" s="20" t="s">
        <v>370</v>
      </c>
      <c r="C686" s="23">
        <v>1.5609999999999999</v>
      </c>
      <c r="D686" s="23" t="s">
        <v>25</v>
      </c>
      <c r="E686" s="272">
        <v>2719.2</v>
      </c>
      <c r="F686" s="23">
        <f t="shared" si="3"/>
        <v>4244.6711999999998</v>
      </c>
    </row>
    <row r="687" spans="1:6">
      <c r="B687" s="20" t="s">
        <v>371</v>
      </c>
      <c r="C687" s="23">
        <v>1.671</v>
      </c>
      <c r="D687" s="23" t="s">
        <v>25</v>
      </c>
      <c r="E687" s="23">
        <v>248.5</v>
      </c>
      <c r="F687" s="23">
        <f t="shared" si="3"/>
        <v>415.24349999999998</v>
      </c>
    </row>
    <row r="688" spans="1:6">
      <c r="B688" s="20" t="s">
        <v>912</v>
      </c>
      <c r="C688" s="23">
        <v>8.218</v>
      </c>
      <c r="D688" s="23" t="s">
        <v>32</v>
      </c>
      <c r="E688" s="23">
        <f>ANALYSIS!F682</f>
        <v>2.9808000000000003</v>
      </c>
      <c r="F688" s="14">
        <f t="shared" si="3"/>
        <v>24.496214400000003</v>
      </c>
    </row>
    <row r="689" spans="1:6">
      <c r="B689" s="21" t="s">
        <v>821</v>
      </c>
      <c r="C689" s="23">
        <v>0.67</v>
      </c>
      <c r="D689" s="23" t="s">
        <v>53</v>
      </c>
      <c r="E689" s="23">
        <f>E671</f>
        <v>109.2</v>
      </c>
      <c r="F689" s="23">
        <f t="shared" si="3"/>
        <v>73.164000000000001</v>
      </c>
    </row>
    <row r="690" spans="1:6">
      <c r="B690" s="20" t="s">
        <v>913</v>
      </c>
      <c r="C690" s="23">
        <v>0.66900000000000004</v>
      </c>
      <c r="D690" s="23" t="s">
        <v>25</v>
      </c>
      <c r="E690" s="272">
        <f>E669</f>
        <v>780</v>
      </c>
      <c r="F690" s="14">
        <f t="shared" si="3"/>
        <v>521.82000000000005</v>
      </c>
    </row>
    <row r="691" spans="1:6">
      <c r="B691" s="20" t="s">
        <v>372</v>
      </c>
      <c r="C691" s="23">
        <v>0.125</v>
      </c>
      <c r="D691" s="23" t="s">
        <v>25</v>
      </c>
      <c r="E691" s="23">
        <v>26.1</v>
      </c>
      <c r="F691" s="14">
        <f t="shared" si="3"/>
        <v>3.2625000000000002</v>
      </c>
    </row>
    <row r="692" spans="1:6">
      <c r="B692" s="20"/>
      <c r="C692" s="23"/>
      <c r="D692" s="23"/>
      <c r="E692" s="23"/>
      <c r="F692" s="23">
        <f>SUM(F683:F691)</f>
        <v>16743.588914400003</v>
      </c>
    </row>
    <row r="693" spans="1:6">
      <c r="B693" s="13" t="s">
        <v>493</v>
      </c>
      <c r="C693" s="38"/>
      <c r="D693" s="38"/>
      <c r="E693" s="38"/>
      <c r="F693" s="35">
        <f>F692*0.01</f>
        <v>167.43588914400004</v>
      </c>
    </row>
    <row r="694" spans="1:6">
      <c r="B694" s="13" t="s">
        <v>117</v>
      </c>
      <c r="C694" s="38"/>
      <c r="D694" s="38"/>
      <c r="E694" s="38"/>
      <c r="F694" s="35">
        <f>SUM(F692:F693)</f>
        <v>16911.024803544002</v>
      </c>
    </row>
    <row r="695" spans="1:6">
      <c r="B695" s="28"/>
      <c r="C695" s="28"/>
      <c r="D695" s="28"/>
      <c r="E695" s="12" t="s">
        <v>120</v>
      </c>
      <c r="F695" s="26">
        <f>ROUND(F694,1)</f>
        <v>16911</v>
      </c>
    </row>
    <row r="696" spans="1:6">
      <c r="A696" s="5">
        <v>30</v>
      </c>
      <c r="B696" s="20" t="s">
        <v>264</v>
      </c>
      <c r="C696" s="23"/>
      <c r="D696" s="23"/>
      <c r="E696" s="23"/>
      <c r="F696" s="26"/>
    </row>
    <row r="697" spans="1:6">
      <c r="B697" s="32" t="s">
        <v>28</v>
      </c>
      <c r="C697" s="23"/>
      <c r="D697" s="23"/>
      <c r="E697" s="23"/>
      <c r="F697" s="26"/>
    </row>
    <row r="698" spans="1:6">
      <c r="B698" s="20" t="s">
        <v>178</v>
      </c>
      <c r="C698" s="23">
        <v>0.02</v>
      </c>
      <c r="D698" s="23" t="s">
        <v>53</v>
      </c>
      <c r="E698" s="23">
        <f>Lead!E29</f>
        <v>650</v>
      </c>
      <c r="F698" s="14">
        <f>E698*C698</f>
        <v>13</v>
      </c>
    </row>
    <row r="699" spans="1:6">
      <c r="B699" s="20" t="s">
        <v>104</v>
      </c>
      <c r="C699" s="23">
        <v>0.01</v>
      </c>
      <c r="D699" s="23" t="s">
        <v>25</v>
      </c>
      <c r="E699" s="23">
        <f>Lead!E22</f>
        <v>48</v>
      </c>
      <c r="F699" s="14">
        <f>E699*C699</f>
        <v>0.48</v>
      </c>
    </row>
    <row r="700" spans="1:6">
      <c r="B700" s="20" t="s">
        <v>265</v>
      </c>
      <c r="C700" s="23">
        <v>9</v>
      </c>
      <c r="D700" s="34">
        <v>1000</v>
      </c>
      <c r="E700" s="23">
        <f>Lead!E26</f>
        <v>4300</v>
      </c>
      <c r="F700" s="14">
        <f>E700*C700/1000</f>
        <v>38.700000000000003</v>
      </c>
    </row>
    <row r="701" spans="1:6">
      <c r="B701" s="20" t="s">
        <v>266</v>
      </c>
      <c r="C701" s="23"/>
      <c r="D701" s="23"/>
      <c r="E701" s="23"/>
      <c r="F701" s="26"/>
    </row>
    <row r="702" spans="1:6">
      <c r="B702" s="20" t="s">
        <v>58</v>
      </c>
      <c r="C702" s="23">
        <v>0.1</v>
      </c>
      <c r="D702" s="23" t="s">
        <v>24</v>
      </c>
      <c r="E702" s="2" t="e">
        <f>Lead!#REF!</f>
        <v>#REF!</v>
      </c>
      <c r="F702" s="14" t="e">
        <f>E702*C702</f>
        <v>#REF!</v>
      </c>
    </row>
    <row r="703" spans="1:6">
      <c r="B703" s="20" t="s">
        <v>158</v>
      </c>
      <c r="C703" s="23">
        <v>0.2</v>
      </c>
      <c r="D703" s="23" t="s">
        <v>24</v>
      </c>
      <c r="E703" s="2" t="e">
        <f>Lead!#REF!</f>
        <v>#REF!</v>
      </c>
      <c r="F703" s="14" t="e">
        <f>E703*C703</f>
        <v>#REF!</v>
      </c>
    </row>
    <row r="704" spans="1:6">
      <c r="B704" s="21" t="s">
        <v>820</v>
      </c>
      <c r="C704" s="23"/>
      <c r="D704" s="23"/>
      <c r="E704" s="23" t="e">
        <f>SUM(F702:F703)</f>
        <v>#REF!</v>
      </c>
      <c r="F704" s="14" t="e">
        <f>E704*0.15</f>
        <v>#REF!</v>
      </c>
    </row>
    <row r="705" spans="1:6">
      <c r="B705" s="20" t="s">
        <v>178</v>
      </c>
      <c r="C705" s="23">
        <v>0.02</v>
      </c>
      <c r="D705" s="23" t="s">
        <v>53</v>
      </c>
      <c r="E705" s="23">
        <f>Lead!J29</f>
        <v>16.899999999999999</v>
      </c>
      <c r="F705" s="14">
        <f>E705*C705</f>
        <v>0.33799999999999997</v>
      </c>
    </row>
    <row r="706" spans="1:6">
      <c r="B706" s="20" t="s">
        <v>104</v>
      </c>
      <c r="C706" s="23">
        <v>0.01</v>
      </c>
      <c r="D706" s="23" t="s">
        <v>25</v>
      </c>
      <c r="E706" s="23">
        <f>Lead!J20</f>
        <v>196.4</v>
      </c>
      <c r="F706" s="14">
        <f>E706*C706</f>
        <v>1.9640000000000002</v>
      </c>
    </row>
    <row r="707" spans="1:6">
      <c r="B707" s="20" t="s">
        <v>265</v>
      </c>
      <c r="C707" s="23">
        <v>9</v>
      </c>
      <c r="D707" s="34">
        <v>1000</v>
      </c>
      <c r="E707" s="23">
        <f>Lead!J26</f>
        <v>1397.92</v>
      </c>
      <c r="F707" s="14">
        <f>E707*C707/1000</f>
        <v>12.581280000000001</v>
      </c>
    </row>
    <row r="708" spans="1:6">
      <c r="B708" s="20"/>
      <c r="C708" s="23"/>
      <c r="D708" s="23"/>
      <c r="E708" s="23"/>
      <c r="F708" s="26" t="e">
        <f>SUM(F698:F707)</f>
        <v>#REF!</v>
      </c>
    </row>
    <row r="709" spans="1:6">
      <c r="B709" s="13" t="s">
        <v>493</v>
      </c>
      <c r="C709" s="38"/>
      <c r="D709" s="38"/>
      <c r="E709" s="38"/>
      <c r="F709" s="35" t="e">
        <f>F708*0.01</f>
        <v>#REF!</v>
      </c>
    </row>
    <row r="710" spans="1:6">
      <c r="B710" s="13" t="s">
        <v>117</v>
      </c>
      <c r="C710" s="38"/>
      <c r="D710" s="38"/>
      <c r="E710" s="38"/>
      <c r="F710" s="35" t="e">
        <f>SUM(F708:F709)</f>
        <v>#REF!</v>
      </c>
    </row>
    <row r="711" spans="1:6">
      <c r="B711" s="28"/>
      <c r="C711" s="28"/>
      <c r="D711" s="28"/>
      <c r="E711" s="12" t="s">
        <v>120</v>
      </c>
      <c r="F711" s="26" t="e">
        <f>ROUND(F710,1)</f>
        <v>#REF!</v>
      </c>
    </row>
    <row r="712" spans="1:6" hidden="1">
      <c r="A712" s="5">
        <v>37</v>
      </c>
      <c r="B712" s="20" t="s">
        <v>356</v>
      </c>
      <c r="C712" s="23"/>
      <c r="D712" s="23"/>
      <c r="E712" s="23"/>
      <c r="F712" s="26"/>
    </row>
    <row r="713" spans="1:6" hidden="1">
      <c r="B713" s="20" t="s">
        <v>324</v>
      </c>
      <c r="C713" s="23">
        <v>12.82</v>
      </c>
      <c r="D713" s="23" t="s">
        <v>25</v>
      </c>
      <c r="E713" s="23">
        <v>57.8</v>
      </c>
      <c r="F713" s="14">
        <f t="shared" ref="F713:F725" si="4">C713*E713</f>
        <v>740.99599999999998</v>
      </c>
    </row>
    <row r="714" spans="1:6" hidden="1">
      <c r="B714" s="20" t="s">
        <v>357</v>
      </c>
      <c r="C714" s="23">
        <v>5.39</v>
      </c>
      <c r="D714" s="23" t="s">
        <v>25</v>
      </c>
      <c r="E714" s="23">
        <f>E713+4.1</f>
        <v>61.9</v>
      </c>
      <c r="F714" s="14">
        <f t="shared" si="4"/>
        <v>333.64099999999996</v>
      </c>
    </row>
    <row r="715" spans="1:6" hidden="1">
      <c r="B715" s="20" t="s">
        <v>325</v>
      </c>
      <c r="C715" s="23">
        <v>2.99</v>
      </c>
      <c r="D715" s="23" t="s">
        <v>25</v>
      </c>
      <c r="E715" s="23">
        <v>212.6</v>
      </c>
      <c r="F715" s="14">
        <f t="shared" si="4"/>
        <v>635.67399999999998</v>
      </c>
    </row>
    <row r="716" spans="1:6" hidden="1">
      <c r="B716" s="20" t="s">
        <v>326</v>
      </c>
      <c r="C716" s="23">
        <v>0.68</v>
      </c>
      <c r="D716" s="23" t="s">
        <v>25</v>
      </c>
      <c r="E716" s="23">
        <v>2965.9</v>
      </c>
      <c r="F716" s="14">
        <f t="shared" si="4"/>
        <v>2016.8120000000001</v>
      </c>
    </row>
    <row r="717" spans="1:6" hidden="1">
      <c r="B717" s="20" t="s">
        <v>358</v>
      </c>
      <c r="C717" s="23">
        <v>1.56</v>
      </c>
      <c r="D717" s="23" t="s">
        <v>25</v>
      </c>
      <c r="E717" s="23">
        <v>3887.5</v>
      </c>
      <c r="F717" s="14">
        <f t="shared" si="4"/>
        <v>6064.5</v>
      </c>
    </row>
    <row r="718" spans="1:6" hidden="1">
      <c r="B718" s="20" t="s">
        <v>359</v>
      </c>
      <c r="C718" s="23">
        <v>5.76</v>
      </c>
      <c r="D718" s="23" t="s">
        <v>25</v>
      </c>
      <c r="E718" s="23">
        <f>E661</f>
        <v>41.850938000000006</v>
      </c>
      <c r="F718" s="14">
        <f t="shared" si="4"/>
        <v>241.06140288000003</v>
      </c>
    </row>
    <row r="719" spans="1:6" hidden="1">
      <c r="B719" s="20" t="s">
        <v>360</v>
      </c>
      <c r="C719" s="23">
        <v>0.61</v>
      </c>
      <c r="D719" s="23" t="s">
        <v>25</v>
      </c>
      <c r="E719" s="23">
        <f>E717</f>
        <v>3887.5</v>
      </c>
      <c r="F719" s="14">
        <f t="shared" si="4"/>
        <v>2371.375</v>
      </c>
    </row>
    <row r="720" spans="1:6" hidden="1">
      <c r="B720" s="20" t="s">
        <v>361</v>
      </c>
      <c r="C720" s="23">
        <v>16.170000000000002</v>
      </c>
      <c r="D720" s="23" t="s">
        <v>32</v>
      </c>
      <c r="E720" s="23">
        <f>E667</f>
        <v>2.9808000000000003</v>
      </c>
      <c r="F720" s="14">
        <f t="shared" si="4"/>
        <v>48.199536000000009</v>
      </c>
    </row>
    <row r="721" spans="1:6" hidden="1">
      <c r="B721" s="20" t="s">
        <v>362</v>
      </c>
      <c r="C721" s="23">
        <v>23.13</v>
      </c>
      <c r="D721" s="23" t="s">
        <v>32</v>
      </c>
      <c r="E721" s="23" t="e">
        <f>#REF!</f>
        <v>#REF!</v>
      </c>
      <c r="F721" s="14" t="e">
        <f t="shared" si="4"/>
        <v>#REF!</v>
      </c>
    </row>
    <row r="722" spans="1:6" hidden="1">
      <c r="B722" s="20" t="s">
        <v>363</v>
      </c>
      <c r="C722" s="23">
        <v>2</v>
      </c>
      <c r="D722" s="23" t="s">
        <v>32</v>
      </c>
      <c r="E722" s="23">
        <v>210</v>
      </c>
      <c r="F722" s="14">
        <f t="shared" si="4"/>
        <v>420</v>
      </c>
    </row>
    <row r="723" spans="1:6" hidden="1">
      <c r="B723" s="20" t="s">
        <v>364</v>
      </c>
      <c r="C723" s="23">
        <v>5</v>
      </c>
      <c r="D723" s="23" t="s">
        <v>24</v>
      </c>
      <c r="E723" s="23">
        <v>91.1</v>
      </c>
      <c r="F723" s="14">
        <f t="shared" si="4"/>
        <v>455.5</v>
      </c>
    </row>
    <row r="724" spans="1:6" hidden="1">
      <c r="B724" s="20" t="s">
        <v>365</v>
      </c>
      <c r="C724" s="23">
        <v>1</v>
      </c>
      <c r="D724" s="23" t="s">
        <v>24</v>
      </c>
      <c r="E724" s="23">
        <v>217.6</v>
      </c>
      <c r="F724" s="14">
        <f t="shared" si="4"/>
        <v>217.6</v>
      </c>
    </row>
    <row r="725" spans="1:6" hidden="1">
      <c r="B725" s="20" t="s">
        <v>366</v>
      </c>
      <c r="C725" s="23">
        <v>0.49</v>
      </c>
      <c r="D725" s="23" t="s">
        <v>53</v>
      </c>
      <c r="E725" s="23">
        <v>5470.2</v>
      </c>
      <c r="F725" s="14">
        <f t="shared" si="4"/>
        <v>2680.3979999999997</v>
      </c>
    </row>
    <row r="726" spans="1:6" hidden="1">
      <c r="B726" s="20"/>
      <c r="C726" s="23"/>
      <c r="D726" s="23"/>
      <c r="E726" s="23"/>
      <c r="F726" s="26" t="e">
        <f>SUM(F713:F725)</f>
        <v>#REF!</v>
      </c>
    </row>
    <row r="727" spans="1:6" hidden="1">
      <c r="B727" s="20"/>
      <c r="C727" s="23"/>
      <c r="D727" s="23"/>
      <c r="E727" s="23" t="s">
        <v>120</v>
      </c>
      <c r="F727" s="26" t="e">
        <f>ROUND(F726,1)</f>
        <v>#REF!</v>
      </c>
    </row>
    <row r="728" spans="1:6" hidden="1">
      <c r="C728" s="22"/>
      <c r="D728" s="22"/>
      <c r="E728" s="23"/>
      <c r="F728" s="23"/>
    </row>
    <row r="729" spans="1:6" ht="25.5" hidden="1">
      <c r="A729" s="5">
        <v>38</v>
      </c>
      <c r="B729" s="30" t="s">
        <v>833</v>
      </c>
      <c r="C729" s="22"/>
      <c r="D729" s="22"/>
      <c r="E729" s="23"/>
      <c r="F729" s="23"/>
    </row>
    <row r="730" spans="1:6" hidden="1">
      <c r="A730" s="5" t="s">
        <v>739</v>
      </c>
      <c r="B730" s="30" t="s">
        <v>834</v>
      </c>
      <c r="C730" s="22">
        <v>8.0000000000000002E-3</v>
      </c>
      <c r="D730" s="22" t="s">
        <v>25</v>
      </c>
      <c r="E730" s="23">
        <f>[2]Sheet3!F26</f>
        <v>4226.3</v>
      </c>
      <c r="F730" s="14">
        <f>C730*E730</f>
        <v>33.810400000000001</v>
      </c>
    </row>
    <row r="731" spans="1:6" hidden="1">
      <c r="A731" s="5" t="s">
        <v>742</v>
      </c>
      <c r="B731" s="30" t="s">
        <v>835</v>
      </c>
      <c r="C731" s="22">
        <v>0.23</v>
      </c>
      <c r="D731" s="22" t="s">
        <v>836</v>
      </c>
      <c r="E731" s="23" t="e">
        <f>#REF!</f>
        <v>#REF!</v>
      </c>
      <c r="F731" s="14" t="e">
        <f>C731*E731</f>
        <v>#REF!</v>
      </c>
    </row>
    <row r="732" spans="1:6" hidden="1">
      <c r="A732" s="5" t="s">
        <v>837</v>
      </c>
      <c r="B732" s="30" t="s">
        <v>838</v>
      </c>
      <c r="C732" s="22">
        <v>0.01</v>
      </c>
      <c r="D732" s="22" t="s">
        <v>839</v>
      </c>
      <c r="E732" s="23" t="e">
        <f>#REF!</f>
        <v>#REF!</v>
      </c>
      <c r="F732" s="279" t="e">
        <f>C732*E732</f>
        <v>#REF!</v>
      </c>
    </row>
    <row r="733" spans="1:6" hidden="1">
      <c r="C733" s="22"/>
      <c r="D733" s="22"/>
      <c r="E733" s="23"/>
      <c r="F733" s="25" t="e">
        <f>SUM(F729:F732)</f>
        <v>#REF!</v>
      </c>
    </row>
    <row r="734" spans="1:6" hidden="1">
      <c r="C734" s="22"/>
      <c r="D734" s="22"/>
      <c r="E734" s="23"/>
      <c r="F734" s="25" t="e">
        <f>ROUND(F733,0)</f>
        <v>#REF!</v>
      </c>
    </row>
    <row r="735" spans="1:6">
      <c r="C735" s="22"/>
      <c r="D735" s="22"/>
      <c r="E735" s="23"/>
      <c r="F735" s="23"/>
    </row>
    <row r="736" spans="1:6" hidden="1">
      <c r="C736" s="22"/>
      <c r="D736" s="22"/>
      <c r="E736" s="23"/>
      <c r="F736" s="23"/>
    </row>
    <row r="737" spans="1:7" ht="25.5" hidden="1">
      <c r="A737" s="10" t="s">
        <v>840</v>
      </c>
      <c r="B737" s="255" t="s">
        <v>841</v>
      </c>
      <c r="C737" s="254"/>
      <c r="D737" s="254"/>
      <c r="E737" s="254"/>
      <c r="F737" s="254"/>
      <c r="G737" s="254"/>
    </row>
    <row r="738" spans="1:7" hidden="1">
      <c r="A738" s="254"/>
      <c r="B738" s="254" t="s">
        <v>842</v>
      </c>
      <c r="C738" s="254"/>
      <c r="D738" s="254"/>
      <c r="E738" s="254"/>
      <c r="F738" s="254"/>
      <c r="G738" s="254"/>
    </row>
    <row r="739" spans="1:7" hidden="1">
      <c r="A739" s="10" t="s">
        <v>798</v>
      </c>
      <c r="B739" s="255" t="s">
        <v>843</v>
      </c>
      <c r="C739" s="254"/>
      <c r="D739" s="254"/>
      <c r="E739" s="254"/>
      <c r="F739" s="254"/>
      <c r="G739" s="254"/>
    </row>
    <row r="740" spans="1:7" hidden="1">
      <c r="A740" s="254"/>
      <c r="B740" s="285" t="s">
        <v>844</v>
      </c>
      <c r="C740" s="254"/>
      <c r="D740" s="254"/>
      <c r="E740" s="254"/>
      <c r="F740" s="254"/>
      <c r="G740" s="254"/>
    </row>
    <row r="741" spans="1:7" hidden="1">
      <c r="A741" s="254"/>
      <c r="B741" s="255" t="s">
        <v>845</v>
      </c>
      <c r="C741" s="286">
        <v>50</v>
      </c>
      <c r="D741" s="286" t="s">
        <v>404</v>
      </c>
      <c r="E741" s="287">
        <v>80</v>
      </c>
      <c r="F741" s="288">
        <f>C741*E741</f>
        <v>4000</v>
      </c>
      <c r="G741" s="254"/>
    </row>
    <row r="742" spans="1:7" hidden="1">
      <c r="A742" s="254"/>
      <c r="B742" s="254" t="s">
        <v>846</v>
      </c>
      <c r="C742" s="286"/>
      <c r="D742" s="286"/>
      <c r="E742" s="289"/>
      <c r="F742" s="288">
        <f>F741*5%</f>
        <v>200</v>
      </c>
      <c r="G742" s="254"/>
    </row>
    <row r="743" spans="1:7" hidden="1">
      <c r="A743" s="254"/>
      <c r="B743" s="255" t="s">
        <v>847</v>
      </c>
      <c r="C743" s="286">
        <f>(1.94*100)/100</f>
        <v>1.94</v>
      </c>
      <c r="D743" s="286" t="s">
        <v>127</v>
      </c>
      <c r="E743" s="287">
        <v>713.4</v>
      </c>
      <c r="F743" s="288">
        <f>C743*E743</f>
        <v>1383.9959999999999</v>
      </c>
      <c r="G743" s="254"/>
    </row>
    <row r="744" spans="1:7" hidden="1">
      <c r="A744" s="254"/>
      <c r="B744" s="254" t="s">
        <v>848</v>
      </c>
      <c r="C744" s="286">
        <f>0.068*2</f>
        <v>0.13600000000000001</v>
      </c>
      <c r="D744" s="286" t="s">
        <v>25</v>
      </c>
      <c r="E744" s="287">
        <v>282.8</v>
      </c>
      <c r="F744" s="288">
        <f>C744*E744</f>
        <v>38.460800000000006</v>
      </c>
      <c r="G744" s="254"/>
    </row>
    <row r="745" spans="1:7" hidden="1">
      <c r="A745" s="254"/>
      <c r="B745" s="254" t="s">
        <v>849</v>
      </c>
      <c r="C745" s="290">
        <f>0.18*100</f>
        <v>18</v>
      </c>
      <c r="D745" s="286" t="s">
        <v>379</v>
      </c>
      <c r="E745" s="287">
        <v>37</v>
      </c>
      <c r="F745" s="288">
        <f>C745*E745</f>
        <v>666</v>
      </c>
      <c r="G745" s="254"/>
    </row>
    <row r="746" spans="1:7" hidden="1">
      <c r="A746" s="254"/>
      <c r="B746" s="254" t="s">
        <v>850</v>
      </c>
      <c r="C746" s="286"/>
      <c r="D746" s="286"/>
      <c r="E746" s="289" t="s">
        <v>851</v>
      </c>
      <c r="F746" s="254">
        <v>36.630000000000003</v>
      </c>
      <c r="G746" s="254"/>
    </row>
    <row r="747" spans="1:7" hidden="1">
      <c r="A747" s="254"/>
      <c r="B747" s="285" t="s">
        <v>852</v>
      </c>
      <c r="C747" s="286"/>
      <c r="D747" s="286"/>
      <c r="E747" s="289"/>
      <c r="F747" s="254"/>
      <c r="G747" s="254"/>
    </row>
    <row r="748" spans="1:7" hidden="1">
      <c r="A748" s="254"/>
      <c r="B748" s="291" t="s">
        <v>853</v>
      </c>
      <c r="C748" s="292">
        <v>6</v>
      </c>
      <c r="D748" s="293" t="s">
        <v>854</v>
      </c>
      <c r="E748" s="287">
        <v>205</v>
      </c>
      <c r="F748" s="294">
        <f>C748*E748</f>
        <v>1230</v>
      </c>
      <c r="G748" s="254"/>
    </row>
    <row r="749" spans="1:7" hidden="1">
      <c r="A749" s="254"/>
      <c r="B749" s="291" t="s">
        <v>158</v>
      </c>
      <c r="C749" s="292">
        <v>8</v>
      </c>
      <c r="D749" s="293" t="s">
        <v>854</v>
      </c>
      <c r="E749" s="287">
        <v>150</v>
      </c>
      <c r="F749" s="294">
        <f>C749*E749</f>
        <v>1200</v>
      </c>
      <c r="G749" s="254"/>
    </row>
    <row r="750" spans="1:7" hidden="1">
      <c r="A750" s="254"/>
      <c r="B750" s="291" t="s">
        <v>855</v>
      </c>
      <c r="C750" s="292">
        <v>2</v>
      </c>
      <c r="D750" s="293" t="s">
        <v>854</v>
      </c>
      <c r="E750" s="287">
        <v>170</v>
      </c>
      <c r="F750" s="294">
        <f>C750*E750</f>
        <v>340</v>
      </c>
      <c r="G750" s="254"/>
    </row>
    <row r="751" spans="1:7" hidden="1">
      <c r="A751" s="254"/>
      <c r="B751" s="3" t="s">
        <v>856</v>
      </c>
      <c r="C751" s="293"/>
      <c r="D751" s="293"/>
      <c r="E751" s="287"/>
      <c r="F751" s="295">
        <f>SUM(F748:F750)*0.125</f>
        <v>346.25</v>
      </c>
      <c r="G751" s="254"/>
    </row>
    <row r="752" spans="1:7" hidden="1">
      <c r="A752" s="254"/>
      <c r="B752" s="291" t="s">
        <v>857</v>
      </c>
      <c r="C752" s="293"/>
      <c r="D752" s="293"/>
      <c r="E752" s="287"/>
      <c r="F752" s="295">
        <f>SUM(F748:F750)*0.01</f>
        <v>27.7</v>
      </c>
      <c r="G752" s="254"/>
    </row>
    <row r="753" spans="1:7" hidden="1">
      <c r="A753" s="254"/>
      <c r="B753" s="291" t="s">
        <v>858</v>
      </c>
      <c r="C753" s="293"/>
      <c r="D753" s="293"/>
      <c r="E753" s="287"/>
      <c r="F753" s="295">
        <f>SUM(F748:F750)*0.02</f>
        <v>55.4</v>
      </c>
      <c r="G753" s="254"/>
    </row>
    <row r="754" spans="1:7" hidden="1">
      <c r="A754" s="254"/>
      <c r="B754" s="291" t="s">
        <v>859</v>
      </c>
      <c r="C754" s="293"/>
      <c r="D754" s="293"/>
      <c r="E754" s="287"/>
      <c r="F754" s="296"/>
      <c r="G754" s="254"/>
    </row>
    <row r="755" spans="1:7" hidden="1">
      <c r="A755" s="254"/>
      <c r="B755" s="291" t="s">
        <v>860</v>
      </c>
      <c r="C755" s="286">
        <f>0.6*1*30*2</f>
        <v>36</v>
      </c>
      <c r="D755" s="286" t="s">
        <v>432</v>
      </c>
      <c r="E755" s="287">
        <v>57.8</v>
      </c>
      <c r="F755" s="288">
        <f>E755*C755</f>
        <v>2080.7999999999997</v>
      </c>
      <c r="G755" s="254"/>
    </row>
    <row r="756" spans="1:7" hidden="1">
      <c r="A756" s="254"/>
      <c r="B756" s="291" t="s">
        <v>861</v>
      </c>
      <c r="C756" s="290">
        <f>(18-4.185)*2</f>
        <v>27.630000000000003</v>
      </c>
      <c r="D756" s="286" t="s">
        <v>432</v>
      </c>
      <c r="E756" s="287">
        <v>43.4</v>
      </c>
      <c r="F756" s="288">
        <f>E756*C756</f>
        <v>1199.1420000000001</v>
      </c>
      <c r="G756" s="254"/>
    </row>
    <row r="757" spans="1:7" ht="25.5" hidden="1">
      <c r="A757" s="254"/>
      <c r="B757" s="291" t="s">
        <v>862</v>
      </c>
      <c r="C757" s="290">
        <f>(((1/2*0.6*0.165*30)+(0.6*0.15*30))-(22/28*(0.165^2)*30))*2</f>
        <v>7.0865357142857137</v>
      </c>
      <c r="D757" s="286" t="s">
        <v>432</v>
      </c>
      <c r="E757" s="287">
        <v>3426.4</v>
      </c>
      <c r="F757" s="288">
        <f>E757*C757</f>
        <v>24281.30597142857</v>
      </c>
      <c r="G757" s="254"/>
    </row>
    <row r="758" spans="1:7" hidden="1">
      <c r="A758" s="254"/>
      <c r="B758" s="295" t="s">
        <v>863</v>
      </c>
      <c r="C758" s="254"/>
      <c r="D758" s="254"/>
      <c r="E758" s="254"/>
      <c r="F758" s="297">
        <f>SUM(F741:F757)</f>
        <v>37085.684771428569</v>
      </c>
      <c r="G758" s="254" t="s">
        <v>864</v>
      </c>
    </row>
    <row r="759" spans="1:7" hidden="1">
      <c r="A759" s="254"/>
      <c r="B759" s="254"/>
      <c r="C759" s="254"/>
      <c r="D759" s="254"/>
      <c r="E759" s="254"/>
      <c r="F759" s="298">
        <f>F758/30</f>
        <v>1236.1894923809523</v>
      </c>
      <c r="G759" s="254" t="s">
        <v>865</v>
      </c>
    </row>
    <row r="760" spans="1:7" hidden="1">
      <c r="A760" s="254"/>
      <c r="B760" s="254"/>
      <c r="C760" s="254"/>
      <c r="D760" s="254"/>
      <c r="E760" s="254"/>
      <c r="F760" s="298"/>
      <c r="G760" s="254"/>
    </row>
    <row r="761" spans="1:7" hidden="1">
      <c r="A761" s="10" t="s">
        <v>802</v>
      </c>
      <c r="B761" s="255" t="s">
        <v>866</v>
      </c>
      <c r="C761" s="254"/>
      <c r="D761" s="254"/>
      <c r="E761" s="254"/>
      <c r="F761" s="254"/>
      <c r="G761" s="254"/>
    </row>
    <row r="762" spans="1:7" hidden="1">
      <c r="A762" s="254"/>
      <c r="B762" s="285" t="s">
        <v>844</v>
      </c>
      <c r="C762" s="254"/>
      <c r="D762" s="254"/>
      <c r="E762" s="254"/>
      <c r="F762" s="254"/>
      <c r="G762" s="254"/>
    </row>
    <row r="763" spans="1:7" hidden="1">
      <c r="A763" s="254"/>
      <c r="B763" s="255" t="s">
        <v>867</v>
      </c>
      <c r="C763" s="286">
        <v>70</v>
      </c>
      <c r="D763" s="286" t="s">
        <v>404</v>
      </c>
      <c r="E763" s="287">
        <v>70</v>
      </c>
      <c r="F763" s="288">
        <f>C763*E763</f>
        <v>4900</v>
      </c>
      <c r="G763" s="254"/>
    </row>
    <row r="764" spans="1:7" hidden="1">
      <c r="A764" s="254"/>
      <c r="B764" s="254" t="s">
        <v>846</v>
      </c>
      <c r="C764" s="286"/>
      <c r="D764" s="286"/>
      <c r="E764" s="289"/>
      <c r="F764" s="288">
        <f>F763*5%</f>
        <v>245</v>
      </c>
      <c r="G764" s="254"/>
    </row>
    <row r="765" spans="1:7" hidden="1">
      <c r="A765" s="254"/>
      <c r="B765" s="254" t="s">
        <v>868</v>
      </c>
      <c r="C765" s="286">
        <f>(1.94*70)/100</f>
        <v>1.3579999999999999</v>
      </c>
      <c r="D765" s="286" t="s">
        <v>127</v>
      </c>
      <c r="E765" s="287">
        <v>713.4</v>
      </c>
      <c r="F765" s="288">
        <f>C765*E765</f>
        <v>968.79719999999986</v>
      </c>
      <c r="G765" s="254"/>
    </row>
    <row r="766" spans="1:7" hidden="1">
      <c r="A766" s="254"/>
      <c r="B766" s="254" t="s">
        <v>848</v>
      </c>
      <c r="C766" s="286">
        <f>0.068*1.5</f>
        <v>0.10200000000000001</v>
      </c>
      <c r="D766" s="286" t="s">
        <v>25</v>
      </c>
      <c r="E766" s="287">
        <v>282.8</v>
      </c>
      <c r="F766" s="288">
        <f>C766*E766</f>
        <v>28.845600000000005</v>
      </c>
      <c r="G766" s="254"/>
    </row>
    <row r="767" spans="1:7" hidden="1">
      <c r="A767" s="254"/>
      <c r="B767" s="254" t="s">
        <v>849</v>
      </c>
      <c r="C767" s="290">
        <f>0.18*70</f>
        <v>12.6</v>
      </c>
      <c r="D767" s="286" t="s">
        <v>379</v>
      </c>
      <c r="E767" s="287">
        <v>37</v>
      </c>
      <c r="F767" s="288">
        <f>C767*E767</f>
        <v>466.2</v>
      </c>
      <c r="G767" s="254"/>
    </row>
    <row r="768" spans="1:7" hidden="1">
      <c r="A768" s="254"/>
      <c r="B768" s="254" t="s">
        <v>850</v>
      </c>
      <c r="C768" s="286"/>
      <c r="D768" s="286"/>
      <c r="E768" s="289" t="s">
        <v>851</v>
      </c>
      <c r="F768" s="254">
        <v>36.630000000000003</v>
      </c>
      <c r="G768" s="254"/>
    </row>
    <row r="769" spans="1:7" hidden="1">
      <c r="A769" s="254"/>
      <c r="B769" s="285" t="s">
        <v>852</v>
      </c>
      <c r="C769" s="286"/>
      <c r="D769" s="286"/>
      <c r="E769" s="289"/>
      <c r="F769" s="254"/>
      <c r="G769" s="254"/>
    </row>
    <row r="770" spans="1:7" hidden="1">
      <c r="A770" s="254"/>
      <c r="B770" s="291" t="s">
        <v>853</v>
      </c>
      <c r="C770" s="292">
        <v>4</v>
      </c>
      <c r="D770" s="293" t="s">
        <v>854</v>
      </c>
      <c r="E770" s="287">
        <v>205</v>
      </c>
      <c r="F770" s="294">
        <f>C770*E770</f>
        <v>820</v>
      </c>
      <c r="G770" s="254"/>
    </row>
    <row r="771" spans="1:7" hidden="1">
      <c r="A771" s="254"/>
      <c r="B771" s="291" t="s">
        <v>158</v>
      </c>
      <c r="C771" s="292">
        <v>5</v>
      </c>
      <c r="D771" s="293" t="s">
        <v>854</v>
      </c>
      <c r="E771" s="287">
        <v>150</v>
      </c>
      <c r="F771" s="294">
        <f>C771*E771</f>
        <v>750</v>
      </c>
      <c r="G771" s="254"/>
    </row>
    <row r="772" spans="1:7" hidden="1">
      <c r="A772" s="254"/>
      <c r="B772" s="291" t="s">
        <v>855</v>
      </c>
      <c r="C772" s="292">
        <v>1.5</v>
      </c>
      <c r="D772" s="293" t="s">
        <v>854</v>
      </c>
      <c r="E772" s="287">
        <v>170</v>
      </c>
      <c r="F772" s="294">
        <f>C772*E772</f>
        <v>255</v>
      </c>
      <c r="G772" s="254"/>
    </row>
    <row r="773" spans="1:7" hidden="1">
      <c r="A773" s="254"/>
      <c r="B773" s="3" t="s">
        <v>856</v>
      </c>
      <c r="C773" s="293"/>
      <c r="D773" s="293"/>
      <c r="E773" s="287"/>
      <c r="F773" s="295">
        <f>SUM(F770:F772)*0.125</f>
        <v>228.125</v>
      </c>
      <c r="G773" s="254"/>
    </row>
    <row r="774" spans="1:7" hidden="1">
      <c r="A774" s="254"/>
      <c r="B774" s="291" t="s">
        <v>857</v>
      </c>
      <c r="C774" s="293"/>
      <c r="D774" s="293"/>
      <c r="E774" s="287"/>
      <c r="F774" s="295">
        <f>SUM(F770:F772)*0.01</f>
        <v>18.25</v>
      </c>
      <c r="G774" s="254"/>
    </row>
    <row r="775" spans="1:7" hidden="1">
      <c r="A775" s="254"/>
      <c r="B775" s="291" t="s">
        <v>858</v>
      </c>
      <c r="C775" s="293"/>
      <c r="D775" s="293"/>
      <c r="E775" s="287"/>
      <c r="F775" s="295">
        <f>SUM(F770:F772)*0.02</f>
        <v>36.5</v>
      </c>
      <c r="G775" s="254"/>
    </row>
    <row r="776" spans="1:7" hidden="1">
      <c r="A776" s="254"/>
      <c r="B776" s="291" t="s">
        <v>859</v>
      </c>
      <c r="C776" s="293"/>
      <c r="D776" s="293"/>
      <c r="E776" s="287"/>
      <c r="F776" s="296"/>
      <c r="G776" s="254"/>
    </row>
    <row r="777" spans="1:7" hidden="1">
      <c r="A777" s="254"/>
      <c r="B777" s="291" t="s">
        <v>860</v>
      </c>
      <c r="C777" s="286">
        <f>0.6*1*30*1.5</f>
        <v>27</v>
      </c>
      <c r="D777" s="286" t="s">
        <v>432</v>
      </c>
      <c r="E777" s="287">
        <v>57.8</v>
      </c>
      <c r="F777" s="288">
        <f>E777*C777</f>
        <v>1560.6</v>
      </c>
      <c r="G777" s="254"/>
    </row>
    <row r="778" spans="1:7" hidden="1">
      <c r="A778" s="254"/>
      <c r="B778" s="291" t="s">
        <v>861</v>
      </c>
      <c r="C778" s="290">
        <f>(18-4.185)*1.5</f>
        <v>20.722500000000004</v>
      </c>
      <c r="D778" s="286" t="s">
        <v>432</v>
      </c>
      <c r="E778" s="287">
        <v>43.4</v>
      </c>
      <c r="F778" s="288">
        <f>E778*C778</f>
        <v>899.3565000000001</v>
      </c>
      <c r="G778" s="254"/>
    </row>
    <row r="779" spans="1:7" ht="25.5" hidden="1">
      <c r="A779" s="254"/>
      <c r="B779" s="291" t="s">
        <v>862</v>
      </c>
      <c r="C779" s="290">
        <f>(((1/2*0.6*0.165*30)+(0.6*0.15*30))-(22/28*(0.165^2)*30))*1.5</f>
        <v>5.3149017857142855</v>
      </c>
      <c r="D779" s="286" t="s">
        <v>432</v>
      </c>
      <c r="E779" s="287">
        <v>3426.4</v>
      </c>
      <c r="F779" s="288">
        <f>E779*C779</f>
        <v>18210.979478571429</v>
      </c>
      <c r="G779" s="254"/>
    </row>
    <row r="780" spans="1:7" hidden="1">
      <c r="A780" s="254"/>
      <c r="B780" s="295" t="s">
        <v>863</v>
      </c>
      <c r="C780" s="254"/>
      <c r="D780" s="254"/>
      <c r="E780" s="254"/>
      <c r="F780" s="297">
        <f>SUM(F763:F779)</f>
        <v>29424.283778571429</v>
      </c>
      <c r="G780" s="254" t="s">
        <v>864</v>
      </c>
    </row>
    <row r="781" spans="1:7" hidden="1">
      <c r="A781" s="254"/>
      <c r="B781" s="254"/>
      <c r="C781" s="254"/>
      <c r="D781" s="254"/>
      <c r="E781" s="254"/>
      <c r="F781" s="298">
        <f>F780/30</f>
        <v>980.8094592857143</v>
      </c>
      <c r="G781" s="254" t="s">
        <v>865</v>
      </c>
    </row>
    <row r="782" spans="1:7" hidden="1">
      <c r="A782" s="254"/>
      <c r="B782" s="254"/>
      <c r="C782" s="254"/>
      <c r="D782" s="254"/>
      <c r="E782" s="254"/>
      <c r="F782" s="254"/>
      <c r="G782" s="254"/>
    </row>
    <row r="783" spans="1:7" hidden="1">
      <c r="A783" s="10" t="s">
        <v>803</v>
      </c>
      <c r="B783" s="255" t="s">
        <v>869</v>
      </c>
      <c r="C783" s="254"/>
      <c r="D783" s="254"/>
      <c r="E783" s="254"/>
      <c r="F783" s="254"/>
      <c r="G783" s="254"/>
    </row>
    <row r="784" spans="1:7" hidden="1">
      <c r="A784" s="254"/>
      <c r="B784" s="285" t="s">
        <v>844</v>
      </c>
      <c r="C784" s="254"/>
      <c r="D784" s="254"/>
      <c r="E784" s="254"/>
      <c r="F784" s="254"/>
      <c r="G784" s="254"/>
    </row>
    <row r="785" spans="1:7" hidden="1">
      <c r="A785" s="254"/>
      <c r="B785" s="254" t="s">
        <v>870</v>
      </c>
      <c r="C785" s="286">
        <v>50</v>
      </c>
      <c r="D785" s="286" t="s">
        <v>404</v>
      </c>
      <c r="E785" s="290">
        <v>40</v>
      </c>
      <c r="F785" s="288">
        <f>C785*E785</f>
        <v>2000</v>
      </c>
      <c r="G785" s="254"/>
    </row>
    <row r="786" spans="1:7" hidden="1">
      <c r="A786" s="254"/>
      <c r="B786" s="254" t="s">
        <v>846</v>
      </c>
      <c r="C786" s="286"/>
      <c r="D786" s="286"/>
      <c r="E786" s="286"/>
      <c r="F786" s="288">
        <f>F785*5%</f>
        <v>100</v>
      </c>
      <c r="G786" s="254"/>
    </row>
    <row r="787" spans="1:7" hidden="1">
      <c r="A787" s="254"/>
      <c r="B787" s="254" t="s">
        <v>868</v>
      </c>
      <c r="C787" s="286">
        <f>(1.94*50)/100</f>
        <v>0.97</v>
      </c>
      <c r="D787" s="286" t="s">
        <v>127</v>
      </c>
      <c r="E787" s="290">
        <f>[2]Lead!E27+[2]Lead!F27</f>
        <v>713.4</v>
      </c>
      <c r="F787" s="288">
        <f>C787*E787</f>
        <v>691.99799999999993</v>
      </c>
      <c r="G787" s="254"/>
    </row>
    <row r="788" spans="1:7" hidden="1">
      <c r="A788" s="254"/>
      <c r="B788" s="254" t="s">
        <v>848</v>
      </c>
      <c r="C788" s="286">
        <v>6.8000000000000005E-2</v>
      </c>
      <c r="D788" s="286" t="s">
        <v>25</v>
      </c>
      <c r="E788" s="290">
        <f>[2]Lead!E19+[2]Lead!F19</f>
        <v>282.8</v>
      </c>
      <c r="F788" s="288">
        <f>C788*E788</f>
        <v>19.230400000000003</v>
      </c>
      <c r="G788" s="254"/>
    </row>
    <row r="789" spans="1:7" hidden="1">
      <c r="A789" s="254"/>
      <c r="B789" s="254" t="s">
        <v>849</v>
      </c>
      <c r="C789" s="290">
        <f>0.18*50</f>
        <v>9</v>
      </c>
      <c r="D789" s="286" t="s">
        <v>379</v>
      </c>
      <c r="E789" s="290">
        <v>37</v>
      </c>
      <c r="F789" s="288">
        <f>C789*E789</f>
        <v>333</v>
      </c>
      <c r="G789" s="254"/>
    </row>
    <row r="790" spans="1:7" hidden="1">
      <c r="A790" s="254"/>
      <c r="B790" s="254" t="s">
        <v>850</v>
      </c>
      <c r="C790" s="286"/>
      <c r="D790" s="286"/>
      <c r="E790" s="286" t="s">
        <v>851</v>
      </c>
      <c r="F790" s="254">
        <v>36.630000000000003</v>
      </c>
      <c r="G790" s="254"/>
    </row>
    <row r="791" spans="1:7" hidden="1">
      <c r="A791" s="254"/>
      <c r="B791" s="285" t="s">
        <v>852</v>
      </c>
      <c r="C791" s="286"/>
      <c r="D791" s="286"/>
      <c r="E791" s="286"/>
      <c r="F791" s="254"/>
      <c r="G791" s="254"/>
    </row>
    <row r="792" spans="1:7" hidden="1">
      <c r="A792" s="254"/>
      <c r="B792" s="291" t="s">
        <v>853</v>
      </c>
      <c r="C792" s="292">
        <v>3</v>
      </c>
      <c r="D792" s="293" t="s">
        <v>854</v>
      </c>
      <c r="E792" s="293">
        <v>205</v>
      </c>
      <c r="F792" s="294">
        <f>C792*E792</f>
        <v>615</v>
      </c>
      <c r="G792" s="254"/>
    </row>
    <row r="793" spans="1:7" hidden="1">
      <c r="A793" s="254"/>
      <c r="B793" s="291" t="s">
        <v>158</v>
      </c>
      <c r="C793" s="292">
        <v>4</v>
      </c>
      <c r="D793" s="293" t="s">
        <v>854</v>
      </c>
      <c r="E793" s="293">
        <v>150</v>
      </c>
      <c r="F793" s="294">
        <f>C793*E793</f>
        <v>600</v>
      </c>
      <c r="G793" s="254"/>
    </row>
    <row r="794" spans="1:7" hidden="1">
      <c r="A794" s="254"/>
      <c r="B794" s="291" t="s">
        <v>855</v>
      </c>
      <c r="C794" s="292">
        <v>1</v>
      </c>
      <c r="D794" s="293" t="s">
        <v>854</v>
      </c>
      <c r="E794" s="293">
        <v>170</v>
      </c>
      <c r="F794" s="294">
        <f>C794*E794</f>
        <v>170</v>
      </c>
      <c r="G794" s="254"/>
    </row>
    <row r="795" spans="1:7" hidden="1">
      <c r="A795" s="254"/>
      <c r="B795" s="3" t="s">
        <v>856</v>
      </c>
      <c r="C795" s="293"/>
      <c r="D795" s="293"/>
      <c r="E795" s="293"/>
      <c r="F795" s="295">
        <f>SUM(F792:F794)*0.125</f>
        <v>173.125</v>
      </c>
      <c r="G795" s="254"/>
    </row>
    <row r="796" spans="1:7" hidden="1">
      <c r="A796" s="254"/>
      <c r="B796" s="291" t="s">
        <v>857</v>
      </c>
      <c r="C796" s="293"/>
      <c r="D796" s="293"/>
      <c r="E796" s="293"/>
      <c r="F796" s="295">
        <f>SUM(F792:F794)*0.01</f>
        <v>13.85</v>
      </c>
      <c r="G796" s="254"/>
    </row>
    <row r="797" spans="1:7" hidden="1">
      <c r="A797" s="254"/>
      <c r="B797" s="291" t="s">
        <v>858</v>
      </c>
      <c r="C797" s="293"/>
      <c r="D797" s="293"/>
      <c r="E797" s="293"/>
      <c r="F797" s="295">
        <f>SUM(F792:F794)*0.02</f>
        <v>27.7</v>
      </c>
      <c r="G797" s="254"/>
    </row>
    <row r="798" spans="1:7" hidden="1">
      <c r="A798" s="254"/>
      <c r="B798" s="291" t="s">
        <v>859</v>
      </c>
      <c r="C798" s="293"/>
      <c r="D798" s="293"/>
      <c r="E798" s="293"/>
      <c r="F798" s="296"/>
      <c r="G798" s="254"/>
    </row>
    <row r="799" spans="1:7" hidden="1">
      <c r="A799" s="254"/>
      <c r="B799" s="291" t="s">
        <v>860</v>
      </c>
      <c r="C799" s="286">
        <f>0.6*1*30</f>
        <v>18</v>
      </c>
      <c r="D799" s="286" t="s">
        <v>432</v>
      </c>
      <c r="E799" s="287">
        <v>57.8</v>
      </c>
      <c r="F799" s="288">
        <f>E799*C799</f>
        <v>1040.3999999999999</v>
      </c>
      <c r="G799" s="254"/>
    </row>
    <row r="800" spans="1:7" hidden="1">
      <c r="A800" s="254"/>
      <c r="B800" s="291" t="s">
        <v>861</v>
      </c>
      <c r="C800" s="290">
        <f>18-4.185</f>
        <v>13.815000000000001</v>
      </c>
      <c r="D800" s="286" t="s">
        <v>432</v>
      </c>
      <c r="E800" s="290" t="e">
        <f>#REF!</f>
        <v>#REF!</v>
      </c>
      <c r="F800" s="288" t="e">
        <f>E800*C800</f>
        <v>#REF!</v>
      </c>
      <c r="G800" s="254"/>
    </row>
    <row r="801" spans="1:7" ht="25.5" hidden="1">
      <c r="A801" s="254"/>
      <c r="B801" s="291" t="s">
        <v>862</v>
      </c>
      <c r="C801" s="290">
        <f>((1/2*0.6*0.165*30)+(0.6*0.15*30))-(22/28*(0.165^2)*30)</f>
        <v>3.5432678571428569</v>
      </c>
      <c r="D801" s="286" t="s">
        <v>432</v>
      </c>
      <c r="E801" s="290" t="e">
        <f>#REF!</f>
        <v>#REF!</v>
      </c>
      <c r="F801" s="288" t="e">
        <f>E801*C801</f>
        <v>#REF!</v>
      </c>
      <c r="G801" s="254"/>
    </row>
    <row r="802" spans="1:7" hidden="1">
      <c r="A802" s="254"/>
      <c r="B802" s="295" t="s">
        <v>863</v>
      </c>
      <c r="C802" s="254"/>
      <c r="D802" s="254"/>
      <c r="E802" s="254"/>
      <c r="F802" s="297" t="e">
        <f>SUM(F785:F801)</f>
        <v>#REF!</v>
      </c>
      <c r="G802" s="254" t="s">
        <v>864</v>
      </c>
    </row>
    <row r="803" spans="1:7" hidden="1">
      <c r="A803" s="254"/>
      <c r="B803" s="254"/>
      <c r="C803" s="254"/>
      <c r="D803" s="254"/>
      <c r="E803" s="254"/>
      <c r="F803" s="298" t="e">
        <f>F802/30</f>
        <v>#REF!</v>
      </c>
      <c r="G803" s="254" t="s">
        <v>865</v>
      </c>
    </row>
    <row r="804" spans="1:7" hidden="1">
      <c r="A804" s="254"/>
      <c r="B804" s="254"/>
      <c r="C804" s="254"/>
      <c r="D804" s="254"/>
      <c r="E804" s="254"/>
      <c r="F804" s="254"/>
      <c r="G804" s="254"/>
    </row>
    <row r="805" spans="1:7" hidden="1">
      <c r="A805" s="10" t="s">
        <v>871</v>
      </c>
      <c r="B805" s="254" t="s">
        <v>872</v>
      </c>
      <c r="C805" s="254"/>
      <c r="D805" s="254"/>
      <c r="E805" s="254"/>
      <c r="F805" s="254"/>
      <c r="G805" s="254"/>
    </row>
    <row r="806" spans="1:7" hidden="1">
      <c r="A806" s="254"/>
      <c r="B806" s="254" t="s">
        <v>873</v>
      </c>
      <c r="C806" s="254"/>
      <c r="D806" s="254"/>
      <c r="E806" s="254"/>
      <c r="F806" s="288" t="e">
        <f>F802</f>
        <v>#REF!</v>
      </c>
      <c r="G806" s="254"/>
    </row>
    <row r="807" spans="1:7" hidden="1">
      <c r="A807" s="254"/>
      <c r="B807" s="254" t="s">
        <v>874</v>
      </c>
      <c r="C807" s="254"/>
      <c r="D807" s="254"/>
      <c r="E807" s="254" t="s">
        <v>875</v>
      </c>
      <c r="F807" s="254">
        <v>800</v>
      </c>
      <c r="G807" s="254"/>
    </row>
    <row r="808" spans="1:7" hidden="1">
      <c r="A808" s="254"/>
      <c r="B808" s="254" t="s">
        <v>874</v>
      </c>
      <c r="C808" s="254"/>
      <c r="D808" s="254"/>
      <c r="E808" s="254" t="s">
        <v>875</v>
      </c>
      <c r="F808" s="254">
        <v>1000</v>
      </c>
      <c r="G808" s="254"/>
    </row>
    <row r="809" spans="1:7" hidden="1">
      <c r="A809" s="254"/>
      <c r="B809" s="295" t="s">
        <v>863</v>
      </c>
      <c r="C809" s="254"/>
      <c r="D809" s="254"/>
      <c r="E809" s="254"/>
      <c r="F809" s="297" t="e">
        <f>F806-(F807+F808)</f>
        <v>#REF!</v>
      </c>
      <c r="G809" s="254" t="s">
        <v>864</v>
      </c>
    </row>
    <row r="810" spans="1:7" hidden="1">
      <c r="A810" s="254"/>
      <c r="B810" s="254"/>
      <c r="C810" s="254"/>
      <c r="D810" s="254"/>
      <c r="E810" s="254"/>
      <c r="F810" s="298" t="e">
        <f>F809/30</f>
        <v>#REF!</v>
      </c>
      <c r="G810" s="254" t="s">
        <v>865</v>
      </c>
    </row>
    <row r="811" spans="1:7" hidden="1"/>
    <row r="812" spans="1:7" hidden="1"/>
    <row r="813" spans="1:7" s="254" customFormat="1" ht="25.5">
      <c r="A813" s="286">
        <v>31</v>
      </c>
      <c r="B813" s="254" t="s">
        <v>876</v>
      </c>
    </row>
    <row r="814" spans="1:7" s="254" customFormat="1" ht="17.25" customHeight="1">
      <c r="A814" s="286" t="s">
        <v>877</v>
      </c>
      <c r="B814" s="254" t="s">
        <v>878</v>
      </c>
    </row>
    <row r="815" spans="1:7" s="254" customFormat="1" ht="15" customHeight="1">
      <c r="B815" s="255" t="s">
        <v>914</v>
      </c>
      <c r="C815" s="290">
        <f>33+27</f>
        <v>60</v>
      </c>
      <c r="D815" s="286" t="s">
        <v>25</v>
      </c>
      <c r="E815" s="287">
        <f>ANALYSIS!F16</f>
        <v>89.2</v>
      </c>
      <c r="F815" s="299">
        <f>C815*E815</f>
        <v>5352</v>
      </c>
    </row>
    <row r="816" spans="1:7" s="254" customFormat="1">
      <c r="B816" s="254" t="s">
        <v>880</v>
      </c>
      <c r="C816" s="290">
        <v>3.6</v>
      </c>
      <c r="D816" s="286" t="s">
        <v>25</v>
      </c>
      <c r="E816" s="287">
        <f>ANALYSIS!F148</f>
        <v>5684.7</v>
      </c>
      <c r="F816" s="299">
        <f t="shared" ref="F816:F828" si="5">C816*E816</f>
        <v>20464.919999999998</v>
      </c>
    </row>
    <row r="817" spans="1:7" s="254" customFormat="1">
      <c r="B817" s="254" t="s">
        <v>459</v>
      </c>
      <c r="C817" s="290">
        <v>3.5</v>
      </c>
      <c r="D817" s="286" t="s">
        <v>25</v>
      </c>
      <c r="E817" s="293">
        <f>ANALYSIS!F45</f>
        <v>275.60000000000002</v>
      </c>
      <c r="F817" s="299">
        <f t="shared" si="5"/>
        <v>964.60000000000014</v>
      </c>
    </row>
    <row r="818" spans="1:7" s="254" customFormat="1">
      <c r="B818" s="254" t="s">
        <v>79</v>
      </c>
      <c r="C818" s="290">
        <v>20</v>
      </c>
      <c r="D818" s="286" t="s">
        <v>25</v>
      </c>
      <c r="E818" s="287">
        <f>E815*(2/3)</f>
        <v>59.466666666666669</v>
      </c>
      <c r="F818" s="299">
        <f t="shared" si="5"/>
        <v>1189.3333333333335</v>
      </c>
    </row>
    <row r="819" spans="1:7" s="254" customFormat="1">
      <c r="B819" s="254" t="s">
        <v>881</v>
      </c>
      <c r="C819" s="290">
        <v>1</v>
      </c>
      <c r="D819" s="286" t="s">
        <v>25</v>
      </c>
      <c r="E819" s="287">
        <f>ANALYSIS!F148</f>
        <v>5684.7</v>
      </c>
      <c r="F819" s="299">
        <f t="shared" si="5"/>
        <v>5684.7</v>
      </c>
    </row>
    <row r="820" spans="1:7" s="254" customFormat="1">
      <c r="B820" s="254" t="s">
        <v>882</v>
      </c>
      <c r="C820" s="290">
        <v>2</v>
      </c>
      <c r="D820" s="286" t="s">
        <v>25</v>
      </c>
      <c r="E820" s="293">
        <f>ANALYSIS!F574</f>
        <v>780</v>
      </c>
      <c r="F820" s="299">
        <f t="shared" si="5"/>
        <v>1560</v>
      </c>
    </row>
    <row r="821" spans="1:7" s="254" customFormat="1">
      <c r="B821" s="254" t="s">
        <v>327</v>
      </c>
      <c r="C821" s="290">
        <v>22.87</v>
      </c>
      <c r="D821" s="286" t="s">
        <v>69</v>
      </c>
      <c r="E821" s="293">
        <f>ANALYSIS!F618</f>
        <v>109.2</v>
      </c>
      <c r="F821" s="299">
        <f t="shared" si="5"/>
        <v>2497.404</v>
      </c>
    </row>
    <row r="822" spans="1:7" s="254" customFormat="1">
      <c r="B822" s="255" t="s">
        <v>915</v>
      </c>
      <c r="C822" s="290">
        <v>53</v>
      </c>
      <c r="D822" s="286" t="s">
        <v>350</v>
      </c>
      <c r="E822" s="293">
        <f>ANALYSIS!F682</f>
        <v>2.9808000000000003</v>
      </c>
      <c r="F822" s="299">
        <f t="shared" si="5"/>
        <v>157.98240000000001</v>
      </c>
    </row>
    <row r="823" spans="1:7" s="254" customFormat="1">
      <c r="B823" s="255" t="s">
        <v>926</v>
      </c>
      <c r="C823" s="290">
        <v>17</v>
      </c>
      <c r="D823" s="286" t="s">
        <v>350</v>
      </c>
      <c r="E823" s="287">
        <f>ANALYSIS!F867</f>
        <v>3196.7700000000004</v>
      </c>
      <c r="F823" s="299">
        <f t="shared" si="5"/>
        <v>54345.090000000011</v>
      </c>
    </row>
    <row r="824" spans="1:7" s="254" customFormat="1">
      <c r="B824" s="254" t="s">
        <v>884</v>
      </c>
      <c r="C824" s="290">
        <v>20</v>
      </c>
      <c r="D824" s="286" t="s">
        <v>404</v>
      </c>
      <c r="E824" s="287">
        <v>50</v>
      </c>
      <c r="F824" s="299">
        <f t="shared" si="5"/>
        <v>1000</v>
      </c>
    </row>
    <row r="825" spans="1:7" s="254" customFormat="1">
      <c r="B825" s="254" t="s">
        <v>885</v>
      </c>
      <c r="C825" s="290">
        <v>1</v>
      </c>
      <c r="D825" s="286" t="s">
        <v>886</v>
      </c>
      <c r="E825" s="287">
        <v>60</v>
      </c>
      <c r="F825" s="299">
        <f t="shared" si="5"/>
        <v>60</v>
      </c>
    </row>
    <row r="826" spans="1:7" s="254" customFormat="1">
      <c r="B826" s="254" t="s">
        <v>887</v>
      </c>
      <c r="C826" s="290">
        <v>1</v>
      </c>
      <c r="D826" s="286" t="s">
        <v>886</v>
      </c>
      <c r="E826" s="287">
        <v>60</v>
      </c>
      <c r="F826" s="299">
        <f t="shared" si="5"/>
        <v>60</v>
      </c>
    </row>
    <row r="827" spans="1:7" s="254" customFormat="1">
      <c r="B827" s="254" t="s">
        <v>888</v>
      </c>
      <c r="C827" s="290">
        <v>6</v>
      </c>
      <c r="D827" s="286" t="s">
        <v>889</v>
      </c>
      <c r="E827" s="287">
        <v>525</v>
      </c>
      <c r="F827" s="299">
        <f t="shared" si="5"/>
        <v>3150</v>
      </c>
    </row>
    <row r="828" spans="1:7" s="254" customFormat="1" ht="25.5">
      <c r="B828" s="254" t="s">
        <v>890</v>
      </c>
      <c r="C828" s="290">
        <v>4</v>
      </c>
      <c r="D828" s="286" t="s">
        <v>404</v>
      </c>
      <c r="E828" s="287">
        <v>1200</v>
      </c>
      <c r="F828" s="299">
        <f t="shared" si="5"/>
        <v>4800</v>
      </c>
    </row>
    <row r="829" spans="1:7" s="254" customFormat="1">
      <c r="B829" s="300" t="s">
        <v>863</v>
      </c>
      <c r="F829" s="297">
        <f>SUM(F815:F828)</f>
        <v>101286.02973333334</v>
      </c>
    </row>
    <row r="830" spans="1:7" s="254" customFormat="1">
      <c r="E830" s="254" t="s">
        <v>891</v>
      </c>
      <c r="F830" s="288">
        <f>ROUND(F829,0)</f>
        <v>101286</v>
      </c>
      <c r="G830" s="254" t="s">
        <v>656</v>
      </c>
    </row>
    <row r="831" spans="1:7" s="254" customFormat="1"/>
    <row r="832" spans="1:7" s="254" customFormat="1" ht="25.5" hidden="1">
      <c r="A832" s="286" t="s">
        <v>892</v>
      </c>
      <c r="B832" s="255" t="s">
        <v>893</v>
      </c>
    </row>
    <row r="833" spans="2:8" s="254" customFormat="1" ht="25.5" hidden="1">
      <c r="B833" s="254" t="s">
        <v>879</v>
      </c>
      <c r="C833" s="290">
        <v>36.479999999999997</v>
      </c>
      <c r="D833" s="286" t="s">
        <v>25</v>
      </c>
      <c r="E833" s="287">
        <v>57.8</v>
      </c>
      <c r="F833" s="299">
        <f>C833*E833</f>
        <v>2108.5439999999999</v>
      </c>
    </row>
    <row r="834" spans="2:8" s="254" customFormat="1" hidden="1">
      <c r="B834" s="254" t="s">
        <v>880</v>
      </c>
      <c r="C834" s="290">
        <v>2</v>
      </c>
      <c r="D834" s="286" t="s">
        <v>25</v>
      </c>
      <c r="E834" s="287">
        <f>[2]Sheet7!F75</f>
        <v>3426.432272</v>
      </c>
      <c r="F834" s="299">
        <f t="shared" ref="F834:F846" si="6">C834*E834</f>
        <v>6852.864544</v>
      </c>
    </row>
    <row r="835" spans="2:8" s="254" customFormat="1" hidden="1">
      <c r="B835" s="254" t="s">
        <v>459</v>
      </c>
      <c r="C835" s="290">
        <v>2.65</v>
      </c>
      <c r="D835" s="286" t="s">
        <v>25</v>
      </c>
      <c r="E835" s="293">
        <v>549</v>
      </c>
      <c r="F835" s="299">
        <f t="shared" si="6"/>
        <v>1454.85</v>
      </c>
    </row>
    <row r="836" spans="2:8" s="254" customFormat="1" hidden="1">
      <c r="B836" s="254" t="s">
        <v>79</v>
      </c>
      <c r="C836" s="290">
        <f>C833/3</f>
        <v>12.159999999999998</v>
      </c>
      <c r="D836" s="286" t="s">
        <v>25</v>
      </c>
      <c r="E836" s="287">
        <f>[2]Sheet7!F42</f>
        <v>43.438079999999999</v>
      </c>
      <c r="F836" s="299">
        <f t="shared" si="6"/>
        <v>528.20705279999993</v>
      </c>
    </row>
    <row r="837" spans="2:8" s="254" customFormat="1" hidden="1">
      <c r="B837" s="254" t="s">
        <v>881</v>
      </c>
      <c r="C837" s="290">
        <v>1</v>
      </c>
      <c r="D837" s="286" t="s">
        <v>25</v>
      </c>
      <c r="E837" s="287">
        <f>[2]Sheet7!F115</f>
        <v>5047.2679500000004</v>
      </c>
      <c r="F837" s="299">
        <f t="shared" si="6"/>
        <v>5047.2679500000004</v>
      </c>
    </row>
    <row r="838" spans="2:8" s="254" customFormat="1" hidden="1">
      <c r="B838" s="255" t="s">
        <v>894</v>
      </c>
      <c r="C838" s="290">
        <v>8.58</v>
      </c>
      <c r="D838" s="286" t="s">
        <v>25</v>
      </c>
      <c r="E838" s="293">
        <f>[2]Sheet7!F777</f>
        <v>7509.0558924888883</v>
      </c>
      <c r="F838" s="299">
        <f t="shared" si="6"/>
        <v>64427.699557554661</v>
      </c>
    </row>
    <row r="839" spans="2:8" s="254" customFormat="1" hidden="1">
      <c r="B839" s="254" t="s">
        <v>327</v>
      </c>
      <c r="C839" s="290">
        <f>(8.58*150)/100</f>
        <v>12.87</v>
      </c>
      <c r="D839" s="286" t="s">
        <v>69</v>
      </c>
      <c r="E839" s="293">
        <f>[2]Sheet7!F229</f>
        <v>5608.8289600000007</v>
      </c>
      <c r="F839" s="299">
        <f t="shared" si="6"/>
        <v>72185.6287152</v>
      </c>
      <c r="H839" s="288"/>
    </row>
    <row r="840" spans="2:8" s="254" customFormat="1" hidden="1">
      <c r="B840" s="255" t="s">
        <v>895</v>
      </c>
      <c r="C840" s="290">
        <v>51.2</v>
      </c>
      <c r="D840" s="286" t="s">
        <v>350</v>
      </c>
      <c r="E840" s="293">
        <v>85.3</v>
      </c>
      <c r="F840" s="299">
        <f t="shared" si="6"/>
        <v>4367.3599999999997</v>
      </c>
    </row>
    <row r="841" spans="2:8" s="254" customFormat="1" hidden="1">
      <c r="B841" s="254" t="s">
        <v>883</v>
      </c>
      <c r="C841" s="290">
        <v>15</v>
      </c>
      <c r="D841" s="286" t="s">
        <v>350</v>
      </c>
      <c r="E841" s="293">
        <f>[2]Sheet7!F762</f>
        <v>209.49785922999996</v>
      </c>
      <c r="F841" s="299">
        <f t="shared" si="6"/>
        <v>3142.4678884499995</v>
      </c>
    </row>
    <row r="842" spans="2:8" s="254" customFormat="1" hidden="1">
      <c r="B842" s="254" t="s">
        <v>884</v>
      </c>
      <c r="C842" s="290">
        <v>20</v>
      </c>
      <c r="D842" s="286" t="s">
        <v>404</v>
      </c>
      <c r="E842" s="293">
        <v>50</v>
      </c>
      <c r="F842" s="299">
        <f t="shared" si="6"/>
        <v>1000</v>
      </c>
    </row>
    <row r="843" spans="2:8" s="254" customFormat="1" hidden="1">
      <c r="B843" s="254" t="s">
        <v>885</v>
      </c>
      <c r="C843" s="290">
        <v>2</v>
      </c>
      <c r="D843" s="286" t="s">
        <v>886</v>
      </c>
      <c r="E843" s="293">
        <v>60</v>
      </c>
      <c r="F843" s="299">
        <f t="shared" si="6"/>
        <v>120</v>
      </c>
    </row>
    <row r="844" spans="2:8" s="254" customFormat="1" hidden="1">
      <c r="B844" s="254" t="s">
        <v>887</v>
      </c>
      <c r="C844" s="290">
        <v>2</v>
      </c>
      <c r="D844" s="286" t="s">
        <v>886</v>
      </c>
      <c r="E844" s="293">
        <v>60</v>
      </c>
      <c r="F844" s="299">
        <f t="shared" si="6"/>
        <v>120</v>
      </c>
    </row>
    <row r="845" spans="2:8" s="254" customFormat="1" hidden="1">
      <c r="B845" s="254" t="s">
        <v>896</v>
      </c>
      <c r="C845" s="290">
        <v>2</v>
      </c>
      <c r="D845" s="286" t="s">
        <v>886</v>
      </c>
      <c r="E845" s="293">
        <v>525</v>
      </c>
      <c r="F845" s="299">
        <f t="shared" si="6"/>
        <v>1050</v>
      </c>
    </row>
    <row r="846" spans="2:8" s="254" customFormat="1" ht="25.5" hidden="1">
      <c r="B846" s="254" t="s">
        <v>890</v>
      </c>
      <c r="C846" s="290">
        <v>3</v>
      </c>
      <c r="D846" s="286" t="s">
        <v>404</v>
      </c>
      <c r="E846" s="293">
        <v>1200</v>
      </c>
      <c r="F846" s="299">
        <f t="shared" si="6"/>
        <v>3600</v>
      </c>
    </row>
    <row r="847" spans="2:8" s="254" customFormat="1" hidden="1">
      <c r="B847" s="300" t="s">
        <v>863</v>
      </c>
      <c r="F847" s="297">
        <f>SUM(F833:F846)</f>
        <v>166004.88970800463</v>
      </c>
    </row>
    <row r="848" spans="2:8" s="254" customFormat="1" hidden="1">
      <c r="E848" s="254" t="s">
        <v>891</v>
      </c>
      <c r="F848" s="301">
        <f>ROUND(F847,0)</f>
        <v>166005</v>
      </c>
      <c r="G848" s="254" t="s">
        <v>656</v>
      </c>
    </row>
  </sheetData>
  <mergeCells count="2">
    <mergeCell ref="A1:F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SheetLayoutView="100" workbookViewId="0">
      <selection activeCell="B16" sqref="B16"/>
    </sheetView>
  </sheetViews>
  <sheetFormatPr defaultRowHeight="12.75"/>
  <cols>
    <col min="1" max="1" width="6.140625" style="196" bestFit="1" customWidth="1"/>
    <col min="2" max="2" width="41.42578125" style="197" customWidth="1"/>
    <col min="3" max="3" width="7.5703125" style="196" bestFit="1" customWidth="1"/>
    <col min="4" max="4" width="4.5703125" style="196" bestFit="1" customWidth="1"/>
    <col min="5" max="5" width="11.28515625" style="197" bestFit="1" customWidth="1"/>
    <col min="6" max="6" width="12.7109375" style="197" bestFit="1" customWidth="1"/>
    <col min="7" max="16384" width="9.140625" style="197"/>
  </cols>
  <sheetData>
    <row r="2" spans="1:9" ht="15">
      <c r="A2" s="1247" t="s">
        <v>571</v>
      </c>
      <c r="B2" s="1247"/>
      <c r="C2" s="1247"/>
      <c r="D2" s="1247"/>
      <c r="E2" s="1247"/>
      <c r="F2" s="1247"/>
    </row>
    <row r="4" spans="1:9" ht="25.5">
      <c r="A4" s="167" t="s">
        <v>572</v>
      </c>
      <c r="B4" s="207" t="s">
        <v>573</v>
      </c>
      <c r="C4" s="167" t="s">
        <v>574</v>
      </c>
      <c r="D4" s="167" t="s">
        <v>96</v>
      </c>
      <c r="E4" s="167" t="s">
        <v>575</v>
      </c>
      <c r="F4" s="167" t="s">
        <v>576</v>
      </c>
    </row>
    <row r="5" spans="1:9">
      <c r="A5" s="196">
        <v>1</v>
      </c>
      <c r="B5" s="197" t="s">
        <v>577</v>
      </c>
      <c r="C5" s="196">
        <v>72</v>
      </c>
      <c r="D5" s="196" t="s">
        <v>31</v>
      </c>
      <c r="E5" s="205">
        <v>112.5</v>
      </c>
      <c r="F5" s="205">
        <f t="shared" ref="F5:F17" si="0">E5*C5</f>
        <v>8100</v>
      </c>
      <c r="I5" s="198"/>
    </row>
    <row r="6" spans="1:9">
      <c r="A6" s="196">
        <v>2</v>
      </c>
      <c r="B6" s="197" t="s">
        <v>578</v>
      </c>
      <c r="C6" s="196">
        <v>150</v>
      </c>
      <c r="D6" s="196" t="s">
        <v>31</v>
      </c>
      <c r="E6" s="205">
        <v>80.400000000000006</v>
      </c>
      <c r="F6" s="205">
        <f t="shared" si="0"/>
        <v>12060</v>
      </c>
      <c r="I6" s="198"/>
    </row>
    <row r="7" spans="1:9">
      <c r="A7" s="196">
        <v>3</v>
      </c>
      <c r="B7" s="199" t="s">
        <v>579</v>
      </c>
      <c r="C7" s="196">
        <v>100</v>
      </c>
      <c r="D7" s="196" t="s">
        <v>64</v>
      </c>
      <c r="E7" s="205">
        <v>250</v>
      </c>
      <c r="F7" s="205">
        <f t="shared" si="0"/>
        <v>25000</v>
      </c>
    </row>
    <row r="8" spans="1:9">
      <c r="A8" s="196">
        <v>4</v>
      </c>
      <c r="B8" s="197" t="s">
        <v>580</v>
      </c>
      <c r="C8" s="196">
        <v>100</v>
      </c>
      <c r="D8" s="196" t="s">
        <v>64</v>
      </c>
      <c r="E8" s="205">
        <v>100</v>
      </c>
      <c r="F8" s="205">
        <f t="shared" si="0"/>
        <v>10000</v>
      </c>
    </row>
    <row r="9" spans="1:9">
      <c r="A9" s="196">
        <v>5</v>
      </c>
      <c r="B9" s="197" t="s">
        <v>581</v>
      </c>
      <c r="C9" s="196">
        <v>100</v>
      </c>
      <c r="D9" s="196" t="s">
        <v>64</v>
      </c>
      <c r="E9" s="205">
        <v>65</v>
      </c>
      <c r="F9" s="205">
        <f t="shared" si="0"/>
        <v>6500</v>
      </c>
    </row>
    <row r="10" spans="1:9">
      <c r="A10" s="196">
        <v>6</v>
      </c>
      <c r="B10" s="197" t="s">
        <v>582</v>
      </c>
      <c r="C10" s="196">
        <v>1</v>
      </c>
      <c r="D10" s="196" t="s">
        <v>64</v>
      </c>
      <c r="E10" s="205">
        <v>6850</v>
      </c>
      <c r="F10" s="205">
        <f t="shared" si="0"/>
        <v>6850</v>
      </c>
    </row>
    <row r="11" spans="1:9">
      <c r="A11" s="196">
        <v>7</v>
      </c>
      <c r="B11" s="197" t="s">
        <v>583</v>
      </c>
      <c r="C11" s="196">
        <v>4</v>
      </c>
      <c r="D11" s="196" t="s">
        <v>64</v>
      </c>
      <c r="E11" s="205">
        <v>950</v>
      </c>
      <c r="F11" s="205">
        <f t="shared" si="0"/>
        <v>3800</v>
      </c>
    </row>
    <row r="12" spans="1:9">
      <c r="A12" s="196">
        <v>8</v>
      </c>
      <c r="B12" s="197" t="s">
        <v>584</v>
      </c>
      <c r="C12" s="196">
        <v>4</v>
      </c>
      <c r="D12" s="196" t="s">
        <v>64</v>
      </c>
      <c r="E12" s="205">
        <v>650</v>
      </c>
      <c r="F12" s="205">
        <f t="shared" si="0"/>
        <v>2600</v>
      </c>
    </row>
    <row r="13" spans="1:9">
      <c r="A13" s="196">
        <v>9</v>
      </c>
      <c r="B13" s="197" t="s">
        <v>585</v>
      </c>
      <c r="C13" s="196">
        <v>2</v>
      </c>
      <c r="D13" s="196" t="s">
        <v>64</v>
      </c>
      <c r="E13" s="205">
        <v>250</v>
      </c>
      <c r="F13" s="205">
        <f t="shared" si="0"/>
        <v>500</v>
      </c>
    </row>
    <row r="14" spans="1:9">
      <c r="A14" s="196">
        <v>10</v>
      </c>
      <c r="B14" s="197" t="s">
        <v>586</v>
      </c>
      <c r="C14" s="196">
        <v>4</v>
      </c>
      <c r="E14" s="205">
        <v>140</v>
      </c>
      <c r="F14" s="205">
        <f t="shared" si="0"/>
        <v>560</v>
      </c>
    </row>
    <row r="15" spans="1:9">
      <c r="A15" s="196">
        <v>11</v>
      </c>
      <c r="B15" s="197" t="s">
        <v>587</v>
      </c>
      <c r="C15" s="196">
        <v>4</v>
      </c>
      <c r="E15" s="205">
        <v>270</v>
      </c>
      <c r="F15" s="205">
        <f t="shared" si="0"/>
        <v>1080</v>
      </c>
    </row>
    <row r="16" spans="1:9">
      <c r="A16" s="196">
        <v>12</v>
      </c>
      <c r="B16" s="197" t="s">
        <v>588</v>
      </c>
      <c r="C16" s="196">
        <v>4</v>
      </c>
      <c r="D16" s="196" t="s">
        <v>64</v>
      </c>
      <c r="E16" s="205">
        <v>1500</v>
      </c>
      <c r="F16" s="205">
        <f t="shared" si="0"/>
        <v>6000</v>
      </c>
    </row>
    <row r="17" spans="1:6">
      <c r="A17" s="196">
        <v>13</v>
      </c>
      <c r="B17" s="200" t="s">
        <v>589</v>
      </c>
      <c r="C17" s="201">
        <v>0.1</v>
      </c>
      <c r="D17" s="201"/>
      <c r="E17" s="205">
        <f>SUM(F5:F16)</f>
        <v>83050</v>
      </c>
      <c r="F17" s="205">
        <f t="shared" si="0"/>
        <v>8305</v>
      </c>
    </row>
    <row r="18" spans="1:6">
      <c r="A18" s="196">
        <v>14</v>
      </c>
      <c r="B18" s="202" t="s">
        <v>590</v>
      </c>
      <c r="C18" s="201">
        <v>0.05</v>
      </c>
      <c r="D18" s="201"/>
      <c r="E18" s="205">
        <f>SUM(F5:F17)</f>
        <v>91355</v>
      </c>
      <c r="F18" s="205">
        <f>E18*C18</f>
        <v>4567.75</v>
      </c>
    </row>
    <row r="19" spans="1:6">
      <c r="A19" s="196">
        <v>15</v>
      </c>
      <c r="B19" s="200" t="s">
        <v>591</v>
      </c>
      <c r="C19" s="196">
        <f>SUM(C5:C6)</f>
        <v>222</v>
      </c>
      <c r="E19" s="205">
        <v>150</v>
      </c>
      <c r="F19" s="205">
        <f>E19*C19</f>
        <v>33300</v>
      </c>
    </row>
    <row r="20" spans="1:6">
      <c r="A20" s="196">
        <v>16</v>
      </c>
      <c r="B20" s="200" t="s">
        <v>592</v>
      </c>
      <c r="C20" s="196">
        <v>1</v>
      </c>
      <c r="E20" s="205">
        <v>250000</v>
      </c>
      <c r="F20" s="205">
        <f>E20*C20</f>
        <v>250000</v>
      </c>
    </row>
    <row r="21" spans="1:6">
      <c r="A21" s="196">
        <v>17</v>
      </c>
      <c r="B21" s="200" t="s">
        <v>593</v>
      </c>
      <c r="C21" s="203">
        <v>0.1236</v>
      </c>
      <c r="D21" s="203"/>
      <c r="E21" s="205">
        <v>779200</v>
      </c>
      <c r="F21" s="205">
        <f>E21*C21</f>
        <v>96309.119999999995</v>
      </c>
    </row>
    <row r="22" spans="1:6">
      <c r="A22" s="1248" t="s">
        <v>117</v>
      </c>
      <c r="B22" s="1248"/>
      <c r="C22" s="1248"/>
      <c r="D22" s="1248"/>
      <c r="E22" s="1248"/>
      <c r="F22" s="206">
        <f>SUM(F5:F21)</f>
        <v>475531.87</v>
      </c>
    </row>
    <row r="23" spans="1:6">
      <c r="A23" s="1249"/>
      <c r="B23" s="1249"/>
      <c r="C23" s="1249"/>
      <c r="D23" s="1249"/>
      <c r="E23" s="1249"/>
      <c r="F23" s="1249"/>
    </row>
    <row r="28" spans="1:6">
      <c r="D28" s="1250"/>
      <c r="E28" s="1250"/>
      <c r="F28" s="1250"/>
    </row>
  </sheetData>
  <mergeCells count="4">
    <mergeCell ref="A2:F2"/>
    <mergeCell ref="A22:E22"/>
    <mergeCell ref="A23:F23"/>
    <mergeCell ref="D28:F28"/>
  </mergeCells>
  <hyperlinks>
    <hyperlink ref="B18" r:id="rId1"/>
  </hyperlinks>
  <printOptions gridLines="1"/>
  <pageMargins left="0.7" right="0.7" top="0.75" bottom="0.75" header="0.3" footer="0.3"/>
  <pageSetup paperSize="9" orientation="portrait"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8"/>
  <sheetViews>
    <sheetView view="pageBreakPreview" zoomScaleSheetLayoutView="100" workbookViewId="0">
      <selection activeCell="K38" sqref="K38"/>
    </sheetView>
  </sheetViews>
  <sheetFormatPr defaultRowHeight="12.75"/>
  <cols>
    <col min="1" max="1" width="6.7109375" style="1" bestFit="1" customWidth="1"/>
    <col min="2" max="2" width="28.28515625" bestFit="1" customWidth="1"/>
    <col min="3" max="3" width="5.7109375" style="1" bestFit="1" customWidth="1"/>
    <col min="4" max="4" width="6.5703125" style="1" bestFit="1" customWidth="1"/>
    <col min="5" max="5" width="8.5703125" style="1" bestFit="1" customWidth="1"/>
    <col min="6" max="6" width="10.28515625" style="1" customWidth="1"/>
    <col min="7" max="7" width="8.7109375" bestFit="1" customWidth="1"/>
    <col min="8" max="8" width="7.7109375" customWidth="1"/>
    <col min="10" max="18" width="9.140625" style="164" customWidth="1"/>
  </cols>
  <sheetData>
    <row r="1" spans="1:20" ht="38.25" customHeight="1">
      <c r="A1" s="1255" t="s">
        <v>637</v>
      </c>
      <c r="B1" s="1255"/>
      <c r="C1" s="1255"/>
      <c r="D1" s="1255"/>
      <c r="E1" s="1255"/>
      <c r="F1" s="1255"/>
      <c r="G1" s="1255"/>
      <c r="H1" s="1255"/>
      <c r="J1" s="165"/>
      <c r="M1" s="1259"/>
      <c r="N1" s="1259"/>
      <c r="O1" s="165"/>
      <c r="P1" s="165"/>
    </row>
    <row r="2" spans="1:20">
      <c r="J2" s="165"/>
      <c r="M2" s="165"/>
      <c r="N2" s="165"/>
      <c r="O2" s="165"/>
      <c r="P2" s="165"/>
    </row>
    <row r="3" spans="1:20" ht="15">
      <c r="A3" s="241" t="s">
        <v>596</v>
      </c>
      <c r="B3" s="241" t="s">
        <v>19</v>
      </c>
      <c r="C3" s="241" t="s">
        <v>62</v>
      </c>
      <c r="D3" s="241" t="s">
        <v>410</v>
      </c>
      <c r="E3" s="241" t="s">
        <v>411</v>
      </c>
      <c r="F3" s="241" t="s">
        <v>412</v>
      </c>
      <c r="G3" s="241" t="s">
        <v>413</v>
      </c>
      <c r="H3" s="241" t="s">
        <v>21</v>
      </c>
      <c r="J3" s="165"/>
      <c r="M3" s="208"/>
      <c r="N3" s="208"/>
      <c r="O3" s="208"/>
      <c r="P3" s="208"/>
      <c r="Q3" s="208"/>
    </row>
    <row r="4" spans="1:20" ht="15">
      <c r="A4" s="103">
        <v>1</v>
      </c>
      <c r="B4" s="240" t="s">
        <v>597</v>
      </c>
      <c r="J4" s="165"/>
      <c r="K4" s="1253"/>
      <c r="L4" s="1253"/>
      <c r="M4" s="165"/>
      <c r="N4" s="165"/>
      <c r="O4" s="165"/>
      <c r="P4" s="165"/>
    </row>
    <row r="5" spans="1:20" s="149" customFormat="1">
      <c r="A5" s="135"/>
      <c r="B5" s="209"/>
      <c r="C5" s="121">
        <v>1</v>
      </c>
      <c r="D5" s="1256">
        <v>43</v>
      </c>
      <c r="E5" s="1256"/>
      <c r="F5" s="121">
        <v>1</v>
      </c>
      <c r="G5" s="165">
        <f>F5*D5*C5</f>
        <v>43</v>
      </c>
      <c r="J5" s="1251"/>
      <c r="K5" s="1251"/>
      <c r="L5" s="1251"/>
      <c r="M5" s="1251"/>
      <c r="N5" s="165"/>
      <c r="O5" s="165"/>
      <c r="P5" s="165"/>
      <c r="Q5" s="164"/>
      <c r="R5" s="164"/>
    </row>
    <row r="6" spans="1:20" ht="15">
      <c r="A6" s="103" t="s">
        <v>475</v>
      </c>
      <c r="B6" t="s">
        <v>598</v>
      </c>
      <c r="G6" s="104">
        <f>G5/2</f>
        <v>21.5</v>
      </c>
      <c r="H6" s="104" t="s">
        <v>25</v>
      </c>
      <c r="J6" s="165"/>
      <c r="M6" s="165"/>
      <c r="N6" s="165"/>
      <c r="O6" s="165"/>
      <c r="P6" s="165"/>
      <c r="Q6" s="165"/>
    </row>
    <row r="7" spans="1:20" ht="15">
      <c r="A7" s="103" t="s">
        <v>476</v>
      </c>
      <c r="B7" t="s">
        <v>599</v>
      </c>
      <c r="G7" s="104">
        <f>G6</f>
        <v>21.5</v>
      </c>
      <c r="H7" s="104" t="s">
        <v>25</v>
      </c>
      <c r="J7" s="165"/>
      <c r="M7" s="165"/>
      <c r="N7" s="165"/>
      <c r="O7" s="165"/>
      <c r="P7" s="165"/>
      <c r="Q7" s="165"/>
    </row>
    <row r="8" spans="1:20">
      <c r="A8" s="103"/>
      <c r="J8" s="165"/>
      <c r="M8" s="165"/>
      <c r="N8" s="165"/>
      <c r="O8" s="165"/>
      <c r="P8" s="165"/>
      <c r="Q8" s="165"/>
    </row>
    <row r="9" spans="1:20" ht="15">
      <c r="A9" s="103">
        <v>2</v>
      </c>
      <c r="B9" s="240" t="s">
        <v>600</v>
      </c>
      <c r="C9" s="1">
        <v>1</v>
      </c>
      <c r="D9" s="1256">
        <v>43</v>
      </c>
      <c r="E9" s="1256"/>
      <c r="F9" s="1">
        <v>0.15</v>
      </c>
      <c r="G9" s="117">
        <f>F9*D9*C9</f>
        <v>6.45</v>
      </c>
      <c r="H9" s="104" t="s">
        <v>25</v>
      </c>
      <c r="J9" s="165"/>
      <c r="M9" s="165"/>
      <c r="N9" s="165"/>
      <c r="O9" s="165"/>
      <c r="P9" s="165"/>
      <c r="Q9" s="165"/>
    </row>
    <row r="10" spans="1:20">
      <c r="A10" s="103"/>
      <c r="J10" s="165"/>
      <c r="M10" s="165"/>
      <c r="N10" s="165"/>
      <c r="O10" s="165"/>
      <c r="P10" s="165"/>
      <c r="Q10" s="173"/>
    </row>
    <row r="11" spans="1:20" ht="15">
      <c r="A11" s="103">
        <v>3</v>
      </c>
      <c r="B11" s="240" t="s">
        <v>601</v>
      </c>
      <c r="C11" s="1">
        <v>1</v>
      </c>
      <c r="D11" s="1256">
        <v>43</v>
      </c>
      <c r="E11" s="1256"/>
      <c r="F11" s="1">
        <v>0.1</v>
      </c>
      <c r="G11" s="108">
        <f>F11*D11*C11</f>
        <v>4.3</v>
      </c>
      <c r="H11" s="104" t="s">
        <v>25</v>
      </c>
      <c r="J11" s="165"/>
      <c r="M11" s="165"/>
      <c r="N11" s="165"/>
      <c r="O11" s="165"/>
      <c r="P11" s="165"/>
      <c r="Q11" s="173"/>
      <c r="S11" s="149"/>
      <c r="T11" s="149"/>
    </row>
    <row r="12" spans="1:20">
      <c r="A12" s="103"/>
      <c r="B12" s="209"/>
      <c r="J12" s="165"/>
      <c r="M12" s="165"/>
      <c r="N12" s="165"/>
      <c r="O12" s="165"/>
      <c r="P12" s="165"/>
      <c r="Q12" s="173"/>
      <c r="S12" s="149"/>
      <c r="T12" s="149"/>
    </row>
    <row r="13" spans="1:20" ht="15">
      <c r="A13" s="103">
        <v>4</v>
      </c>
      <c r="B13" s="240" t="s">
        <v>636</v>
      </c>
      <c r="J13" s="165"/>
      <c r="K13" s="213"/>
      <c r="M13" s="165"/>
      <c r="N13" s="165"/>
      <c r="O13" s="165"/>
      <c r="P13" s="165"/>
    </row>
    <row r="14" spans="1:20" ht="15">
      <c r="A14" s="103"/>
      <c r="B14" t="s">
        <v>602</v>
      </c>
      <c r="C14" s="1">
        <v>2</v>
      </c>
      <c r="D14" s="1">
        <v>8</v>
      </c>
      <c r="G14" s="104">
        <f>D14*C14</f>
        <v>16</v>
      </c>
      <c r="J14" s="165"/>
      <c r="K14" s="213"/>
      <c r="M14" s="165"/>
      <c r="N14" s="165"/>
      <c r="O14" s="165"/>
      <c r="P14" s="165"/>
    </row>
    <row r="15" spans="1:20" ht="15">
      <c r="A15" s="103"/>
      <c r="C15" s="1">
        <v>1</v>
      </c>
      <c r="D15" s="1">
        <v>5</v>
      </c>
      <c r="G15" s="104">
        <f>D15*C15</f>
        <v>5</v>
      </c>
      <c r="J15" s="165"/>
      <c r="K15" s="213"/>
      <c r="M15" s="165"/>
      <c r="N15" s="165"/>
      <c r="O15" s="165"/>
      <c r="P15" s="165"/>
    </row>
    <row r="16" spans="1:20" ht="15">
      <c r="A16" s="103"/>
      <c r="C16" s="1">
        <v>8</v>
      </c>
      <c r="D16" s="1">
        <v>1</v>
      </c>
      <c r="G16" s="214">
        <f>D16*C16</f>
        <v>8</v>
      </c>
      <c r="J16" s="165"/>
      <c r="K16" s="213"/>
      <c r="M16" s="165"/>
      <c r="N16" s="165"/>
      <c r="O16" s="165"/>
      <c r="P16" s="165"/>
    </row>
    <row r="17" spans="1:18" ht="15">
      <c r="A17" s="103"/>
      <c r="G17" s="104">
        <f>SUM(G14:G16)</f>
        <v>29</v>
      </c>
      <c r="H17" s="104" t="s">
        <v>603</v>
      </c>
      <c r="J17" s="165"/>
      <c r="K17" s="213"/>
      <c r="M17" s="165"/>
      <c r="N17" s="165"/>
      <c r="O17" s="165"/>
      <c r="P17" s="165"/>
    </row>
    <row r="18" spans="1:18" ht="15">
      <c r="A18" s="103">
        <v>5</v>
      </c>
      <c r="B18" s="240" t="s">
        <v>635</v>
      </c>
      <c r="J18" s="165"/>
      <c r="K18" s="213"/>
      <c r="M18" s="165"/>
      <c r="N18" s="165"/>
      <c r="O18" s="165"/>
      <c r="P18" s="165"/>
    </row>
    <row r="19" spans="1:18" ht="15">
      <c r="A19" s="103"/>
      <c r="B19" s="240" t="s">
        <v>604</v>
      </c>
      <c r="J19" s="165"/>
      <c r="K19" s="213"/>
      <c r="M19" s="165"/>
      <c r="N19" s="165"/>
      <c r="O19" s="165"/>
      <c r="P19" s="165"/>
    </row>
    <row r="20" spans="1:18" s="149" customFormat="1" ht="15">
      <c r="A20" s="135"/>
      <c r="B20" s="215" t="s">
        <v>487</v>
      </c>
      <c r="C20" s="121"/>
      <c r="D20" s="121"/>
      <c r="E20" s="121"/>
      <c r="F20" s="121"/>
      <c r="J20" s="165"/>
      <c r="K20" s="213"/>
      <c r="L20" s="164"/>
      <c r="M20" s="165"/>
      <c r="N20" s="165"/>
      <c r="O20" s="165"/>
      <c r="P20" s="165"/>
      <c r="Q20" s="164"/>
      <c r="R20" s="164"/>
    </row>
    <row r="21" spans="1:18" ht="15">
      <c r="A21" s="103"/>
      <c r="B21" s="209"/>
      <c r="C21" s="1">
        <v>1</v>
      </c>
      <c r="D21" s="1">
        <v>19.64</v>
      </c>
      <c r="E21" s="1">
        <v>0.9</v>
      </c>
      <c r="F21" s="1">
        <v>0.5</v>
      </c>
      <c r="G21" s="2">
        <f>F21*E21*D21*C21</f>
        <v>8.838000000000001</v>
      </c>
      <c r="J21" s="165"/>
      <c r="K21" s="213"/>
      <c r="M21" s="165"/>
      <c r="N21" s="165"/>
      <c r="O21" s="165"/>
      <c r="P21" s="165"/>
    </row>
    <row r="22" spans="1:18" ht="15">
      <c r="A22" s="103"/>
      <c r="B22" s="216"/>
      <c r="C22" s="1">
        <v>1</v>
      </c>
      <c r="D22" s="1257">
        <f>(3.141*2.85*2.85)/4</f>
        <v>6.3781931250000001</v>
      </c>
      <c r="E22" s="1257"/>
      <c r="F22" s="1">
        <v>0.5</v>
      </c>
      <c r="G22" s="112">
        <f>F22*D22*C22</f>
        <v>3.1890965625000001</v>
      </c>
      <c r="J22" s="165"/>
      <c r="K22" s="213"/>
      <c r="M22" s="165"/>
      <c r="N22" s="165"/>
      <c r="O22" s="165"/>
      <c r="P22" s="165"/>
    </row>
    <row r="23" spans="1:18" ht="15">
      <c r="A23" s="103"/>
      <c r="B23" s="216"/>
      <c r="D23" s="2"/>
      <c r="G23" s="217">
        <f>SUM(G21:G22)</f>
        <v>12.027096562500001</v>
      </c>
      <c r="H23" s="104" t="s">
        <v>25</v>
      </c>
      <c r="J23" s="165"/>
      <c r="K23" s="213"/>
      <c r="M23" s="165"/>
      <c r="N23" s="165"/>
      <c r="O23" s="165"/>
      <c r="P23" s="165"/>
    </row>
    <row r="24" spans="1:18" s="149" customFormat="1" ht="15">
      <c r="A24" s="135"/>
      <c r="B24" s="216"/>
      <c r="C24" s="121"/>
      <c r="D24" s="120"/>
      <c r="E24" s="121"/>
      <c r="F24" s="186"/>
      <c r="G24" s="211"/>
      <c r="H24" s="218"/>
      <c r="J24" s="165"/>
      <c r="K24" s="213"/>
      <c r="L24" s="164"/>
      <c r="M24" s="165"/>
      <c r="N24" s="165"/>
      <c r="O24" s="165"/>
      <c r="P24" s="165"/>
      <c r="Q24" s="164"/>
      <c r="R24" s="164"/>
    </row>
    <row r="25" spans="1:18" ht="15">
      <c r="A25" s="103"/>
      <c r="B25" s="215" t="s">
        <v>594</v>
      </c>
      <c r="D25" s="2"/>
      <c r="G25" s="2"/>
      <c r="J25" s="165"/>
      <c r="K25" s="213"/>
      <c r="M25" s="165"/>
      <c r="N25" s="165"/>
      <c r="O25" s="165"/>
      <c r="P25" s="165"/>
    </row>
    <row r="26" spans="1:18" ht="15">
      <c r="A26" s="103"/>
      <c r="B26" s="209"/>
      <c r="D26" s="2"/>
      <c r="G26" s="2"/>
      <c r="J26" s="165"/>
      <c r="K26" s="213"/>
      <c r="M26" s="165"/>
      <c r="N26" s="165"/>
      <c r="O26" s="165"/>
      <c r="P26" s="165"/>
    </row>
    <row r="27" spans="1:18" s="149" customFormat="1" ht="15">
      <c r="A27" s="135"/>
      <c r="B27" s="149" t="s">
        <v>605</v>
      </c>
      <c r="C27" s="121">
        <v>1</v>
      </c>
      <c r="D27" s="121">
        <v>19.64</v>
      </c>
      <c r="E27" s="121">
        <v>0.25</v>
      </c>
      <c r="F27" s="121">
        <v>0.3</v>
      </c>
      <c r="G27" s="2">
        <f>F27*E27*D27*C27</f>
        <v>1.4730000000000001</v>
      </c>
      <c r="J27" s="165"/>
      <c r="K27" s="213"/>
      <c r="L27" s="164"/>
      <c r="M27" s="165"/>
      <c r="N27" s="165"/>
      <c r="O27" s="165"/>
      <c r="P27" s="165"/>
      <c r="Q27" s="164"/>
      <c r="R27" s="164"/>
    </row>
    <row r="28" spans="1:18" s="149" customFormat="1" ht="15">
      <c r="A28" s="135"/>
      <c r="B28" s="149" t="s">
        <v>606</v>
      </c>
      <c r="C28" s="121">
        <v>8</v>
      </c>
      <c r="D28" s="120">
        <v>3</v>
      </c>
      <c r="E28" s="121">
        <v>0.25</v>
      </c>
      <c r="F28" s="121">
        <v>0.4</v>
      </c>
      <c r="G28" s="112">
        <f>F28*E28*D28*C28</f>
        <v>2.4000000000000004</v>
      </c>
      <c r="J28" s="165"/>
      <c r="K28" s="213"/>
      <c r="L28" s="164"/>
      <c r="M28" s="165"/>
      <c r="N28" s="165"/>
      <c r="O28" s="165"/>
      <c r="P28" s="165"/>
      <c r="Q28" s="164"/>
      <c r="R28" s="164"/>
    </row>
    <row r="29" spans="1:18" s="149" customFormat="1" ht="15">
      <c r="A29" s="135"/>
      <c r="C29" s="121"/>
      <c r="D29" s="121"/>
      <c r="E29" s="121"/>
      <c r="F29" s="121"/>
      <c r="G29" s="217">
        <f>SUM(G27:G28)</f>
        <v>3.8730000000000002</v>
      </c>
      <c r="H29" s="104" t="s">
        <v>25</v>
      </c>
      <c r="J29" s="165"/>
      <c r="K29" s="219"/>
      <c r="L29" s="164"/>
      <c r="M29" s="165"/>
      <c r="N29" s="165"/>
      <c r="O29" s="165"/>
      <c r="P29" s="165"/>
      <c r="Q29" s="164"/>
      <c r="R29" s="164"/>
    </row>
    <row r="30" spans="1:18" s="149" customFormat="1" ht="15">
      <c r="A30" s="135"/>
      <c r="B30" s="215" t="s">
        <v>607</v>
      </c>
      <c r="C30" s="121"/>
      <c r="D30" s="121"/>
      <c r="E30" s="121"/>
      <c r="F30" s="220"/>
      <c r="G30" s="211"/>
      <c r="H30" s="218"/>
      <c r="J30" s="165"/>
      <c r="K30" s="213"/>
      <c r="L30" s="164"/>
      <c r="M30" s="165"/>
      <c r="N30" s="165"/>
      <c r="O30" s="165"/>
      <c r="P30" s="165"/>
      <c r="Q30" s="164"/>
      <c r="R30" s="164"/>
    </row>
    <row r="31" spans="1:18" s="149" customFormat="1" ht="15">
      <c r="A31" s="135"/>
      <c r="B31" s="149" t="s">
        <v>608</v>
      </c>
      <c r="C31" s="121">
        <v>8</v>
      </c>
      <c r="D31" s="121">
        <v>0.25</v>
      </c>
      <c r="E31" s="120">
        <v>0.4</v>
      </c>
      <c r="F31" s="121">
        <v>0.6</v>
      </c>
      <c r="G31" s="165">
        <f>F31*E31*D31*C31</f>
        <v>0.48</v>
      </c>
      <c r="H31" s="218"/>
      <c r="J31" s="165"/>
      <c r="K31" s="213"/>
      <c r="L31" s="164"/>
      <c r="M31" s="165"/>
      <c r="N31" s="165"/>
      <c r="O31" s="165"/>
      <c r="P31" s="165"/>
      <c r="Q31" s="164"/>
      <c r="R31" s="164"/>
    </row>
    <row r="32" spans="1:18" s="149" customFormat="1" ht="15">
      <c r="A32" s="135"/>
      <c r="B32" s="149" t="s">
        <v>39</v>
      </c>
      <c r="C32" s="121">
        <v>1</v>
      </c>
      <c r="D32" s="121">
        <v>0.25</v>
      </c>
      <c r="E32" s="121">
        <v>0.75</v>
      </c>
      <c r="F32" s="121">
        <v>0.6</v>
      </c>
      <c r="G32" s="173">
        <f>F32*E32*D32*C32</f>
        <v>0.11249999999999999</v>
      </c>
      <c r="H32" s="218"/>
      <c r="J32" s="165"/>
      <c r="K32" s="213"/>
      <c r="L32" s="164"/>
      <c r="M32" s="165"/>
      <c r="N32" s="165"/>
      <c r="O32" s="165"/>
      <c r="P32" s="165"/>
      <c r="Q32" s="164"/>
      <c r="R32" s="164"/>
    </row>
    <row r="33" spans="1:18" s="149" customFormat="1" ht="15">
      <c r="A33" s="135"/>
      <c r="C33" s="121">
        <v>2</v>
      </c>
      <c r="D33" s="121">
        <v>0.25</v>
      </c>
      <c r="E33" s="121">
        <v>0.25</v>
      </c>
      <c r="F33" s="121">
        <v>0.6</v>
      </c>
      <c r="G33" s="210">
        <f>F33*E33*D33*C33</f>
        <v>7.4999999999999997E-2</v>
      </c>
      <c r="H33" s="218"/>
      <c r="J33" s="165"/>
      <c r="K33" s="213"/>
      <c r="L33" s="164"/>
      <c r="M33" s="165"/>
      <c r="N33" s="165"/>
      <c r="O33" s="165"/>
      <c r="P33" s="165"/>
      <c r="Q33" s="164"/>
      <c r="R33" s="164"/>
    </row>
    <row r="34" spans="1:18" s="149" customFormat="1" ht="15">
      <c r="A34" s="135"/>
      <c r="C34" s="121"/>
      <c r="D34" s="121"/>
      <c r="E34" s="121"/>
      <c r="F34" s="220"/>
      <c r="G34" s="211">
        <f>SUM(G31:G33)</f>
        <v>0.66749999999999998</v>
      </c>
      <c r="H34" s="104" t="s">
        <v>25</v>
      </c>
      <c r="J34" s="165"/>
      <c r="K34" s="213"/>
      <c r="L34" s="164"/>
      <c r="M34" s="165"/>
      <c r="N34" s="165"/>
      <c r="O34" s="165"/>
      <c r="P34" s="165"/>
      <c r="Q34" s="164"/>
      <c r="R34" s="164"/>
    </row>
    <row r="35" spans="1:18" s="149" customFormat="1" ht="15">
      <c r="A35" s="135"/>
      <c r="C35" s="121"/>
      <c r="D35" s="121"/>
      <c r="E35" s="121"/>
      <c r="F35" s="212"/>
      <c r="G35" s="211"/>
      <c r="H35" s="104"/>
      <c r="J35" s="165"/>
      <c r="K35" s="213"/>
      <c r="L35" s="164"/>
      <c r="M35" s="165"/>
      <c r="N35" s="165"/>
      <c r="O35" s="165"/>
      <c r="P35" s="165"/>
      <c r="Q35" s="164"/>
      <c r="R35" s="164"/>
    </row>
    <row r="36" spans="1:18" s="149" customFormat="1" ht="15">
      <c r="A36" s="135"/>
      <c r="B36" s="221" t="s">
        <v>562</v>
      </c>
      <c r="C36" s="121"/>
      <c r="D36" s="121"/>
      <c r="E36" s="121"/>
      <c r="F36" s="212"/>
      <c r="G36" s="211"/>
      <c r="H36" s="104"/>
      <c r="J36" s="165"/>
      <c r="K36" s="213"/>
      <c r="L36" s="164"/>
      <c r="M36" s="165"/>
      <c r="N36" s="165"/>
      <c r="O36" s="165"/>
      <c r="P36" s="165"/>
      <c r="Q36" s="164"/>
      <c r="R36" s="164"/>
    </row>
    <row r="37" spans="1:18" s="149" customFormat="1" ht="15">
      <c r="A37" s="135"/>
      <c r="B37" s="215" t="s">
        <v>491</v>
      </c>
      <c r="C37" s="121"/>
      <c r="D37" s="121"/>
      <c r="E37" s="121"/>
      <c r="F37" s="121"/>
      <c r="G37" s="2"/>
      <c r="J37" s="165"/>
      <c r="K37" s="213"/>
      <c r="L37" s="164"/>
      <c r="M37" s="165"/>
      <c r="N37" s="165"/>
      <c r="O37" s="165"/>
      <c r="P37" s="165"/>
      <c r="Q37" s="164"/>
      <c r="R37" s="164"/>
    </row>
    <row r="38" spans="1:18" s="149" customFormat="1" ht="15">
      <c r="A38" s="135"/>
      <c r="B38" s="222" t="s">
        <v>38</v>
      </c>
      <c r="C38" s="121">
        <v>2</v>
      </c>
      <c r="D38" s="121">
        <v>4.5</v>
      </c>
      <c r="E38" s="121">
        <v>0.25</v>
      </c>
      <c r="F38" s="121">
        <v>0.6</v>
      </c>
      <c r="G38" s="2">
        <f>F38*E38*D38*C38</f>
        <v>1.3499999999999999</v>
      </c>
      <c r="J38" s="165"/>
      <c r="K38" s="213"/>
      <c r="L38" s="164"/>
      <c r="M38" s="165"/>
      <c r="N38" s="165"/>
      <c r="O38" s="165"/>
      <c r="P38" s="165"/>
      <c r="Q38" s="164"/>
      <c r="R38" s="164"/>
    </row>
    <row r="39" spans="1:18" s="149" customFormat="1" ht="15">
      <c r="A39" s="135"/>
      <c r="B39" s="149" t="s">
        <v>606</v>
      </c>
      <c r="C39" s="121">
        <v>1</v>
      </c>
      <c r="D39" s="121">
        <v>30.63</v>
      </c>
      <c r="E39" s="120">
        <v>0.25</v>
      </c>
      <c r="F39" s="223">
        <v>0.6</v>
      </c>
      <c r="G39" s="2">
        <f>F39*E39*D39*C39</f>
        <v>4.5945</v>
      </c>
      <c r="J39" s="165"/>
      <c r="K39" s="213"/>
      <c r="L39" s="164"/>
      <c r="M39" s="165"/>
      <c r="N39" s="165"/>
      <c r="O39" s="165"/>
      <c r="P39" s="165"/>
      <c r="Q39" s="164"/>
      <c r="R39" s="164"/>
    </row>
    <row r="40" spans="1:18" s="149" customFormat="1" ht="15">
      <c r="A40" s="135"/>
      <c r="B40" s="149" t="s">
        <v>609</v>
      </c>
      <c r="C40" s="121">
        <v>1</v>
      </c>
      <c r="D40" s="121">
        <v>19.64</v>
      </c>
      <c r="E40" s="121">
        <v>0.25</v>
      </c>
      <c r="F40" s="223">
        <v>0.6</v>
      </c>
      <c r="G40" s="2">
        <f>F40*E40*D40*C40</f>
        <v>2.9460000000000002</v>
      </c>
      <c r="J40" s="165"/>
      <c r="K40" s="213"/>
      <c r="L40" s="164"/>
      <c r="M40" s="165"/>
      <c r="N40" s="165"/>
      <c r="O40" s="165"/>
      <c r="P40" s="165"/>
      <c r="Q40" s="164"/>
      <c r="R40" s="164"/>
    </row>
    <row r="41" spans="1:18" s="149" customFormat="1" ht="15">
      <c r="A41" s="135"/>
      <c r="B41" s="149" t="s">
        <v>605</v>
      </c>
      <c r="C41" s="121">
        <v>8</v>
      </c>
      <c r="D41" s="120">
        <v>3</v>
      </c>
      <c r="E41" s="121">
        <v>0.25</v>
      </c>
      <c r="F41" s="223">
        <v>0.6</v>
      </c>
      <c r="G41" s="117">
        <f>F41*E41*D41*C41</f>
        <v>3.5999999999999996</v>
      </c>
      <c r="J41" s="165"/>
      <c r="K41" s="213"/>
      <c r="L41" s="164"/>
      <c r="M41" s="165"/>
      <c r="N41" s="165"/>
      <c r="O41" s="165"/>
      <c r="P41" s="165"/>
      <c r="Q41" s="164"/>
      <c r="R41" s="164"/>
    </row>
    <row r="42" spans="1:18" s="149" customFormat="1" ht="15">
      <c r="A42" s="135"/>
      <c r="B42" s="149" t="s">
        <v>610</v>
      </c>
      <c r="C42" s="121">
        <v>8</v>
      </c>
      <c r="D42" s="121">
        <v>1.5</v>
      </c>
      <c r="E42" s="121">
        <v>0.25</v>
      </c>
      <c r="F42" s="223">
        <f>(0.6+0.4)/2</f>
        <v>0.5</v>
      </c>
      <c r="G42" s="112">
        <f>F42*E42*D42*C42</f>
        <v>1.5</v>
      </c>
      <c r="J42" s="165"/>
      <c r="K42" s="213"/>
      <c r="L42" s="164"/>
      <c r="M42" s="165"/>
      <c r="N42" s="165"/>
      <c r="O42" s="165"/>
      <c r="P42" s="165"/>
      <c r="Q42" s="164"/>
      <c r="R42" s="164"/>
    </row>
    <row r="43" spans="1:18" s="149" customFormat="1" ht="15">
      <c r="A43" s="135"/>
      <c r="G43" s="217">
        <f>SUM(G38:G42)</f>
        <v>13.990499999999999</v>
      </c>
      <c r="H43" s="104" t="s">
        <v>25</v>
      </c>
      <c r="J43" s="165"/>
      <c r="K43" s="213"/>
      <c r="L43" s="164"/>
      <c r="M43" s="165"/>
      <c r="N43" s="165"/>
      <c r="O43" s="165"/>
      <c r="P43" s="165"/>
      <c r="Q43" s="164"/>
      <c r="R43" s="164"/>
    </row>
    <row r="44" spans="1:18" s="149" customFormat="1" ht="15">
      <c r="A44" s="135"/>
      <c r="B44" s="215" t="s">
        <v>419</v>
      </c>
      <c r="C44" s="121"/>
      <c r="D44" s="121"/>
      <c r="E44" s="121"/>
      <c r="F44" s="121"/>
      <c r="J44" s="165"/>
      <c r="K44" s="213"/>
      <c r="L44" s="164"/>
      <c r="M44" s="165"/>
      <c r="N44" s="165"/>
      <c r="O44" s="165"/>
      <c r="P44" s="165"/>
      <c r="Q44" s="164"/>
      <c r="R44" s="164"/>
    </row>
    <row r="45" spans="1:18" s="149" customFormat="1" ht="15">
      <c r="A45" s="135"/>
      <c r="B45" s="149" t="s">
        <v>608</v>
      </c>
      <c r="C45" s="121">
        <v>8</v>
      </c>
      <c r="D45" s="121">
        <v>0.25</v>
      </c>
      <c r="E45" s="120">
        <v>0.4</v>
      </c>
      <c r="F45" s="121">
        <f>3.5-0.6</f>
        <v>2.9</v>
      </c>
      <c r="G45" s="121">
        <f>F45*E45*D45*C45</f>
        <v>2.3199999999999998</v>
      </c>
      <c r="J45" s="165"/>
      <c r="K45" s="213"/>
      <c r="L45" s="164"/>
      <c r="M45" s="165"/>
      <c r="N45" s="165"/>
      <c r="O45" s="165"/>
      <c r="P45" s="165"/>
      <c r="Q45" s="164"/>
      <c r="R45" s="164"/>
    </row>
    <row r="46" spans="1:18" s="149" customFormat="1" ht="15">
      <c r="A46" s="135"/>
      <c r="B46" s="149" t="s">
        <v>39</v>
      </c>
      <c r="C46" s="121">
        <v>1</v>
      </c>
      <c r="D46" s="121">
        <v>0.25</v>
      </c>
      <c r="E46" s="121">
        <v>0.75</v>
      </c>
      <c r="F46" s="121">
        <v>2.9</v>
      </c>
      <c r="G46" s="120">
        <f>F46*E46*D46*C46</f>
        <v>0.54374999999999996</v>
      </c>
      <c r="J46" s="165"/>
      <c r="K46" s="213"/>
      <c r="L46" s="164"/>
      <c r="M46" s="165"/>
      <c r="N46" s="165"/>
      <c r="O46" s="165"/>
      <c r="P46" s="165"/>
      <c r="Q46" s="164"/>
      <c r="R46" s="164"/>
    </row>
    <row r="47" spans="1:18" s="149" customFormat="1" ht="15">
      <c r="A47" s="135"/>
      <c r="C47" s="121">
        <v>2</v>
      </c>
      <c r="D47" s="121">
        <v>0.25</v>
      </c>
      <c r="E47" s="121">
        <v>0.25</v>
      </c>
      <c r="F47" s="121">
        <v>2.9</v>
      </c>
      <c r="G47" s="120">
        <f>F47*E47*D47*C47</f>
        <v>0.36249999999999999</v>
      </c>
      <c r="J47" s="165"/>
      <c r="K47" s="213"/>
      <c r="L47" s="164"/>
      <c r="M47" s="165"/>
      <c r="N47" s="165"/>
      <c r="O47" s="165"/>
      <c r="P47" s="165"/>
      <c r="Q47" s="164"/>
      <c r="R47" s="164"/>
    </row>
    <row r="48" spans="1:18" s="149" customFormat="1" ht="15">
      <c r="A48" s="135"/>
      <c r="B48" s="149" t="s">
        <v>611</v>
      </c>
      <c r="C48" s="121">
        <v>8</v>
      </c>
      <c r="D48" s="121">
        <v>0.3</v>
      </c>
      <c r="E48" s="120">
        <v>0.25</v>
      </c>
      <c r="F48" s="121">
        <v>3</v>
      </c>
      <c r="G48" s="210">
        <f>F48*E48*D48*C48</f>
        <v>1.7999999999999998</v>
      </c>
      <c r="J48" s="165"/>
      <c r="K48" s="213"/>
      <c r="L48" s="164"/>
      <c r="M48" s="165"/>
      <c r="N48" s="165"/>
      <c r="O48" s="165"/>
      <c r="P48" s="165"/>
      <c r="Q48" s="164"/>
      <c r="R48" s="164"/>
    </row>
    <row r="49" spans="1:18" s="149" customFormat="1" ht="15">
      <c r="A49" s="135"/>
      <c r="C49" s="121"/>
      <c r="D49" s="121"/>
      <c r="E49" s="121"/>
      <c r="F49" s="121"/>
      <c r="G49" s="217">
        <f>SUM(G45:G48)</f>
        <v>5.0262499999999992</v>
      </c>
      <c r="H49" s="104" t="s">
        <v>25</v>
      </c>
      <c r="J49" s="165"/>
      <c r="K49" s="213"/>
      <c r="L49" s="164"/>
      <c r="M49" s="165"/>
      <c r="N49" s="165"/>
      <c r="O49" s="165"/>
      <c r="P49" s="165"/>
      <c r="Q49" s="164"/>
      <c r="R49" s="164"/>
    </row>
    <row r="50" spans="1:18" s="149" customFormat="1" ht="15">
      <c r="A50" s="135"/>
      <c r="C50" s="121"/>
      <c r="D50" s="121"/>
      <c r="E50" s="121"/>
      <c r="F50" s="121"/>
      <c r="J50" s="165"/>
      <c r="K50" s="213"/>
      <c r="L50" s="164"/>
      <c r="M50" s="165"/>
      <c r="N50" s="165"/>
      <c r="O50" s="165"/>
      <c r="P50" s="165"/>
      <c r="Q50" s="164"/>
      <c r="R50" s="164"/>
    </row>
    <row r="51" spans="1:18" s="149" customFormat="1" ht="15">
      <c r="A51" s="135"/>
      <c r="B51" s="149" t="s">
        <v>612</v>
      </c>
      <c r="C51" s="121">
        <v>2</v>
      </c>
      <c r="D51" s="121">
        <v>0.4</v>
      </c>
      <c r="E51" s="121">
        <v>0.25</v>
      </c>
      <c r="F51" s="121">
        <v>2.15</v>
      </c>
      <c r="G51" s="120">
        <f>F51*E51*D51*C51</f>
        <v>0.43</v>
      </c>
      <c r="J51" s="165"/>
      <c r="K51" s="213"/>
      <c r="L51" s="164"/>
      <c r="M51" s="165"/>
      <c r="N51" s="165"/>
      <c r="O51" s="165"/>
      <c r="P51" s="165"/>
      <c r="Q51" s="164"/>
      <c r="R51" s="164"/>
    </row>
    <row r="52" spans="1:18" s="149" customFormat="1" ht="15">
      <c r="A52" s="135"/>
      <c r="C52" s="121">
        <v>20</v>
      </c>
      <c r="D52" s="120">
        <v>0.25</v>
      </c>
      <c r="E52" s="121">
        <v>0.25</v>
      </c>
      <c r="F52" s="121">
        <v>2.15</v>
      </c>
      <c r="G52" s="120">
        <f>F52*E52*D52*C52</f>
        <v>2.6875</v>
      </c>
      <c r="J52" s="165"/>
      <c r="K52" s="213"/>
      <c r="L52" s="164"/>
      <c r="M52" s="165"/>
      <c r="N52" s="165"/>
      <c r="O52" s="165"/>
      <c r="P52" s="165"/>
      <c r="Q52" s="164"/>
      <c r="R52" s="164"/>
    </row>
    <row r="53" spans="1:18" s="149" customFormat="1" ht="15">
      <c r="A53" s="135"/>
      <c r="C53" s="121">
        <v>10</v>
      </c>
      <c r="D53" s="223">
        <v>1.71</v>
      </c>
      <c r="E53" s="121">
        <v>0.25</v>
      </c>
      <c r="F53" s="121">
        <v>0.35</v>
      </c>
      <c r="G53" s="120">
        <f>F53*E53*D53*C53</f>
        <v>1.4962499999999999</v>
      </c>
      <c r="J53" s="165"/>
      <c r="K53" s="213"/>
      <c r="L53" s="164"/>
      <c r="M53" s="165"/>
      <c r="N53" s="165"/>
      <c r="O53" s="165"/>
      <c r="P53" s="165"/>
      <c r="Q53" s="164"/>
      <c r="R53" s="164"/>
    </row>
    <row r="54" spans="1:18" s="149" customFormat="1" ht="15">
      <c r="A54" s="135"/>
      <c r="C54" s="121">
        <v>1</v>
      </c>
      <c r="D54" s="223">
        <v>2.2000000000000002</v>
      </c>
      <c r="E54" s="121">
        <v>0.25</v>
      </c>
      <c r="F54" s="121">
        <v>0.35</v>
      </c>
      <c r="G54" s="210">
        <f>F54*E54*D54*C54</f>
        <v>0.1925</v>
      </c>
      <c r="J54" s="165"/>
      <c r="K54" s="213"/>
      <c r="L54" s="164"/>
      <c r="M54" s="165"/>
      <c r="N54" s="165"/>
      <c r="O54" s="165"/>
      <c r="P54" s="165"/>
      <c r="Q54" s="164"/>
      <c r="R54" s="164"/>
    </row>
    <row r="55" spans="1:18" s="149" customFormat="1" ht="15">
      <c r="A55" s="135"/>
      <c r="C55" s="121"/>
      <c r="D55" s="223"/>
      <c r="E55" s="121"/>
      <c r="F55" s="121"/>
      <c r="G55" s="217">
        <f>SUM(G51:G54)</f>
        <v>4.8062499999999995</v>
      </c>
      <c r="H55" s="104" t="s">
        <v>25</v>
      </c>
      <c r="J55" s="165"/>
      <c r="K55" s="213"/>
      <c r="L55" s="164"/>
      <c r="M55" s="165"/>
      <c r="N55" s="165"/>
      <c r="O55" s="165"/>
      <c r="P55" s="165"/>
      <c r="Q55" s="164"/>
      <c r="R55" s="164"/>
    </row>
    <row r="56" spans="1:18" s="149" customFormat="1" ht="15">
      <c r="A56" s="135"/>
      <c r="B56" s="215" t="s">
        <v>564</v>
      </c>
      <c r="C56" s="121"/>
      <c r="D56" s="121"/>
      <c r="E56" s="121"/>
      <c r="F56" s="121"/>
      <c r="J56" s="165"/>
      <c r="K56" s="213"/>
      <c r="L56" s="164"/>
      <c r="M56" s="165"/>
      <c r="N56" s="165"/>
      <c r="O56" s="165"/>
      <c r="P56" s="165"/>
      <c r="Q56" s="164"/>
      <c r="R56" s="164"/>
    </row>
    <row r="57" spans="1:18" s="149" customFormat="1" ht="15">
      <c r="A57" s="135"/>
      <c r="B57" s="224" t="s">
        <v>613</v>
      </c>
      <c r="C57" s="121">
        <v>1</v>
      </c>
      <c r="D57" s="1243">
        <v>8</v>
      </c>
      <c r="E57" s="1243"/>
      <c r="F57" s="121">
        <v>0.15</v>
      </c>
      <c r="G57" s="121">
        <f>F57*D57*C57</f>
        <v>1.2</v>
      </c>
      <c r="J57" s="165"/>
      <c r="K57" s="213"/>
      <c r="L57" s="164"/>
      <c r="M57" s="165"/>
      <c r="N57" s="165"/>
      <c r="O57" s="165"/>
      <c r="P57" s="165"/>
      <c r="Q57" s="164"/>
      <c r="R57" s="164"/>
    </row>
    <row r="58" spans="1:18" s="149" customFormat="1" ht="15">
      <c r="A58" s="135"/>
      <c r="B58" s="149" t="s">
        <v>614</v>
      </c>
      <c r="C58" s="121">
        <v>1</v>
      </c>
      <c r="D58" s="1258">
        <f>(3.141*10*10)/4</f>
        <v>78.525000000000006</v>
      </c>
      <c r="E58" s="1258"/>
      <c r="F58" s="121">
        <v>0.15</v>
      </c>
      <c r="G58" s="120">
        <f>F58*D58*C58</f>
        <v>11.77875</v>
      </c>
      <c r="H58" s="104"/>
      <c r="J58" s="165"/>
      <c r="K58" s="213"/>
      <c r="L58" s="164"/>
      <c r="M58" s="165"/>
      <c r="N58" s="165"/>
      <c r="O58" s="165"/>
      <c r="P58" s="165"/>
      <c r="Q58" s="164"/>
      <c r="R58" s="164"/>
    </row>
    <row r="59" spans="1:18" s="149" customFormat="1" ht="15">
      <c r="A59" s="135"/>
      <c r="C59" s="121"/>
      <c r="D59" s="121"/>
      <c r="E59" s="121"/>
      <c r="F59" s="121"/>
      <c r="G59" s="225">
        <f>SUM(G57:G58)</f>
        <v>12.97875</v>
      </c>
      <c r="H59" s="104" t="s">
        <v>25</v>
      </c>
      <c r="J59" s="165"/>
      <c r="K59" s="213"/>
      <c r="L59" s="164"/>
      <c r="M59" s="165"/>
      <c r="N59" s="165"/>
      <c r="O59" s="165"/>
      <c r="P59" s="165"/>
      <c r="Q59" s="164"/>
      <c r="R59" s="164"/>
    </row>
    <row r="60" spans="1:18" ht="15">
      <c r="A60" s="103"/>
      <c r="H60" s="104"/>
      <c r="J60" s="165"/>
      <c r="K60" s="213"/>
      <c r="M60" s="165"/>
      <c r="N60" s="165"/>
      <c r="O60" s="165"/>
      <c r="P60" s="165"/>
    </row>
    <row r="61" spans="1:18" ht="15">
      <c r="A61" s="103"/>
      <c r="B61" s="106" t="s">
        <v>595</v>
      </c>
      <c r="G61" s="120"/>
      <c r="J61" s="165"/>
      <c r="K61" s="213"/>
      <c r="M61" s="165"/>
      <c r="N61" s="165"/>
      <c r="O61" s="165"/>
      <c r="P61" s="165"/>
    </row>
    <row r="62" spans="1:18" ht="15">
      <c r="A62" s="103"/>
      <c r="B62" s="216"/>
      <c r="C62" s="1">
        <v>1</v>
      </c>
      <c r="D62" s="1">
        <v>4.9000000000000004</v>
      </c>
      <c r="E62" s="1">
        <v>0.125</v>
      </c>
      <c r="F62" s="1">
        <v>0.45</v>
      </c>
      <c r="G62" s="120">
        <f>F62*E62*D62*C62</f>
        <v>0.27562500000000001</v>
      </c>
      <c r="J62" s="165"/>
      <c r="K62" s="213"/>
      <c r="M62" s="165"/>
      <c r="N62" s="165"/>
      <c r="O62" s="165"/>
      <c r="P62" s="165"/>
    </row>
    <row r="63" spans="1:18" ht="15">
      <c r="A63" s="103"/>
      <c r="C63" s="1">
        <v>1</v>
      </c>
      <c r="D63" s="1">
        <v>5.3</v>
      </c>
      <c r="E63" s="1">
        <v>0.125</v>
      </c>
      <c r="F63" s="1">
        <v>0.45</v>
      </c>
      <c r="G63" s="120">
        <f>F63*E63*D63*C63</f>
        <v>0.29812499999999997</v>
      </c>
      <c r="J63" s="165"/>
      <c r="K63" s="213"/>
      <c r="M63" s="165"/>
      <c r="N63" s="165"/>
      <c r="O63" s="165"/>
      <c r="P63" s="165"/>
    </row>
    <row r="64" spans="1:18" ht="15">
      <c r="A64" s="103"/>
      <c r="C64" s="1">
        <v>2</v>
      </c>
      <c r="D64" s="1">
        <v>0.3</v>
      </c>
      <c r="E64" s="1">
        <v>0.125</v>
      </c>
      <c r="F64" s="1">
        <v>0.45</v>
      </c>
      <c r="G64" s="210">
        <f>F64*E64*D64*C64</f>
        <v>3.3750000000000002E-2</v>
      </c>
      <c r="J64" s="165"/>
      <c r="K64" s="213"/>
      <c r="M64" s="165"/>
      <c r="N64" s="165"/>
      <c r="O64" s="165"/>
      <c r="P64" s="165"/>
    </row>
    <row r="65" spans="1:18" ht="15">
      <c r="A65" s="103"/>
      <c r="G65" s="217">
        <f>SUM(G62:G64)</f>
        <v>0.60749999999999993</v>
      </c>
      <c r="H65" s="104" t="s">
        <v>25</v>
      </c>
      <c r="J65" s="165"/>
      <c r="K65" s="213"/>
      <c r="M65" s="165"/>
      <c r="N65" s="165"/>
      <c r="O65" s="165"/>
      <c r="P65" s="165"/>
    </row>
    <row r="66" spans="1:18" s="149" customFormat="1" ht="15">
      <c r="A66" s="135"/>
      <c r="C66" s="121"/>
      <c r="D66" s="121"/>
      <c r="E66" s="121"/>
      <c r="F66" s="121"/>
      <c r="G66" s="217"/>
      <c r="H66" s="218"/>
      <c r="J66" s="165"/>
      <c r="K66" s="213"/>
      <c r="L66" s="164"/>
      <c r="M66" s="165"/>
      <c r="N66" s="165"/>
      <c r="O66" s="165"/>
      <c r="P66" s="165"/>
      <c r="Q66" s="164"/>
      <c r="R66" s="164"/>
    </row>
    <row r="67" spans="1:18" s="149" customFormat="1" ht="15">
      <c r="A67" s="135"/>
      <c r="B67" s="215" t="s">
        <v>418</v>
      </c>
      <c r="C67" s="121">
        <v>29</v>
      </c>
      <c r="D67" s="1243">
        <v>7.0000000000000007E-2</v>
      </c>
      <c r="E67" s="1243"/>
      <c r="F67" s="121">
        <v>6</v>
      </c>
      <c r="G67" s="217">
        <f>F67*D67*C67</f>
        <v>12.180000000000001</v>
      </c>
      <c r="H67" s="104" t="s">
        <v>25</v>
      </c>
      <c r="J67" s="165"/>
      <c r="K67" s="213"/>
      <c r="L67" s="164"/>
      <c r="M67" s="165"/>
      <c r="N67" s="165"/>
      <c r="O67" s="165"/>
      <c r="P67" s="165"/>
      <c r="Q67" s="164"/>
      <c r="R67" s="164"/>
    </row>
    <row r="68" spans="1:18" s="149" customFormat="1" ht="15">
      <c r="A68" s="135"/>
      <c r="C68" s="121"/>
      <c r="D68" s="121"/>
      <c r="E68" s="121"/>
      <c r="F68" s="121"/>
      <c r="G68" s="217"/>
      <c r="H68" s="218"/>
      <c r="J68" s="165"/>
      <c r="K68" s="213"/>
      <c r="L68" s="164"/>
      <c r="M68" s="165"/>
      <c r="N68" s="165"/>
      <c r="O68" s="165"/>
      <c r="P68" s="165"/>
      <c r="Q68" s="164"/>
      <c r="R68" s="164"/>
    </row>
    <row r="69" spans="1:18" ht="15">
      <c r="A69" s="103">
        <v>6</v>
      </c>
      <c r="B69" s="111" t="s">
        <v>615</v>
      </c>
      <c r="J69" s="165"/>
      <c r="L69" s="165"/>
      <c r="M69" s="165"/>
      <c r="N69" s="165"/>
      <c r="O69" s="165"/>
      <c r="P69" s="165"/>
      <c r="Q69" s="175"/>
    </row>
    <row r="70" spans="1:18" ht="15">
      <c r="A70" s="103"/>
      <c r="B70" s="226"/>
      <c r="C70" s="218" t="s">
        <v>616</v>
      </c>
      <c r="D70" s="149"/>
      <c r="E70" s="149"/>
      <c r="F70" s="121"/>
      <c r="J70" s="165"/>
      <c r="L70" s="165"/>
      <c r="M70" s="165"/>
      <c r="N70" s="165"/>
      <c r="O70" s="165"/>
      <c r="P70" s="165"/>
      <c r="Q70" s="175"/>
    </row>
    <row r="71" spans="1:18" ht="15">
      <c r="A71" s="103"/>
      <c r="B71" s="149"/>
      <c r="C71" s="218" t="s">
        <v>617</v>
      </c>
      <c r="D71" s="218" t="s">
        <v>618</v>
      </c>
      <c r="E71" s="218" t="s">
        <v>618</v>
      </c>
      <c r="F71" s="121"/>
      <c r="J71" s="165"/>
      <c r="L71" s="165"/>
      <c r="M71" s="165"/>
      <c r="N71" s="165"/>
      <c r="O71" s="165"/>
      <c r="P71" s="165"/>
      <c r="Q71" s="175"/>
    </row>
    <row r="72" spans="1:18">
      <c r="A72" s="103"/>
      <c r="B72" s="149" t="s">
        <v>619</v>
      </c>
      <c r="C72" s="227">
        <f>G67</f>
        <v>12.180000000000001</v>
      </c>
      <c r="D72" s="227">
        <v>200</v>
      </c>
      <c r="E72" s="120">
        <f>D72*C72</f>
        <v>2436.0000000000005</v>
      </c>
      <c r="F72" s="121"/>
      <c r="J72" s="165"/>
      <c r="L72" s="165"/>
      <c r="M72" s="165"/>
      <c r="N72" s="165"/>
      <c r="O72" s="165"/>
      <c r="P72" s="165"/>
      <c r="Q72" s="175"/>
    </row>
    <row r="73" spans="1:18">
      <c r="A73" s="103"/>
      <c r="B73" s="228" t="s">
        <v>620</v>
      </c>
      <c r="C73" s="120">
        <f>G23</f>
        <v>12.027096562500001</v>
      </c>
      <c r="D73" s="120">
        <v>200</v>
      </c>
      <c r="E73" s="120">
        <f>D73*C73</f>
        <v>2405.4193125000002</v>
      </c>
      <c r="F73" s="186"/>
      <c r="J73" s="165"/>
      <c r="L73" s="165"/>
      <c r="M73" s="165"/>
      <c r="N73" s="165"/>
      <c r="O73" s="165"/>
      <c r="P73" s="165"/>
      <c r="Q73" s="175"/>
    </row>
    <row r="74" spans="1:18">
      <c r="A74" s="103"/>
      <c r="B74" s="228" t="s">
        <v>621</v>
      </c>
      <c r="C74" s="120">
        <f>G34</f>
        <v>0.66749999999999998</v>
      </c>
      <c r="D74" s="120">
        <v>201</v>
      </c>
      <c r="E74" s="120">
        <f>D74*C74</f>
        <v>134.16749999999999</v>
      </c>
      <c r="F74" s="186"/>
      <c r="J74" s="165"/>
      <c r="L74" s="165"/>
      <c r="M74" s="165"/>
      <c r="N74" s="165"/>
      <c r="O74" s="165"/>
      <c r="P74" s="165"/>
      <c r="Q74" s="175"/>
    </row>
    <row r="75" spans="1:18">
      <c r="A75" s="103"/>
      <c r="B75" s="228" t="s">
        <v>622</v>
      </c>
      <c r="C75" s="223">
        <f>G49+G55</f>
        <v>9.8324999999999996</v>
      </c>
      <c r="D75" s="120">
        <v>150</v>
      </c>
      <c r="E75" s="120">
        <f t="shared" ref="E75:E80" si="0">D75*C75</f>
        <v>1474.875</v>
      </c>
      <c r="F75" s="186"/>
      <c r="J75" s="165"/>
      <c r="L75" s="165"/>
      <c r="M75" s="165"/>
      <c r="N75" s="165"/>
      <c r="O75" s="165"/>
      <c r="P75" s="165"/>
      <c r="Q75" s="175"/>
    </row>
    <row r="76" spans="1:18" ht="24">
      <c r="A76" s="103"/>
      <c r="B76" s="229" t="s">
        <v>623</v>
      </c>
      <c r="C76" s="120">
        <f>G55</f>
        <v>4.8062499999999995</v>
      </c>
      <c r="D76" s="120">
        <v>150</v>
      </c>
      <c r="E76" s="120">
        <f t="shared" si="0"/>
        <v>720.93749999999989</v>
      </c>
      <c r="F76" s="186"/>
      <c r="J76" s="165"/>
      <c r="L76" s="165"/>
      <c r="M76" s="165"/>
      <c r="N76" s="165"/>
      <c r="O76" s="165"/>
      <c r="P76" s="165"/>
      <c r="Q76" s="175"/>
    </row>
    <row r="77" spans="1:18">
      <c r="A77" s="103"/>
      <c r="B77" s="228" t="s">
        <v>624</v>
      </c>
      <c r="C77" s="120">
        <f>G29</f>
        <v>3.8730000000000002</v>
      </c>
      <c r="D77" s="120">
        <v>150</v>
      </c>
      <c r="E77" s="120">
        <f t="shared" si="0"/>
        <v>580.95000000000005</v>
      </c>
      <c r="F77" s="186"/>
      <c r="J77" s="165"/>
      <c r="L77" s="165"/>
      <c r="M77" s="165"/>
      <c r="N77" s="165"/>
      <c r="O77" s="165"/>
      <c r="P77" s="165"/>
      <c r="Q77" s="175"/>
    </row>
    <row r="78" spans="1:18">
      <c r="A78" s="103"/>
      <c r="B78" s="230" t="s">
        <v>625</v>
      </c>
      <c r="C78" s="120">
        <f>G43</f>
        <v>13.990499999999999</v>
      </c>
      <c r="D78" s="120">
        <v>200</v>
      </c>
      <c r="E78" s="120">
        <f t="shared" si="0"/>
        <v>2798.1</v>
      </c>
      <c r="F78" s="186"/>
      <c r="J78" s="165"/>
      <c r="L78" s="165"/>
      <c r="M78" s="165"/>
      <c r="N78" s="165"/>
      <c r="O78" s="165"/>
      <c r="P78" s="165"/>
      <c r="Q78" s="175"/>
    </row>
    <row r="79" spans="1:18">
      <c r="A79" s="103"/>
      <c r="B79" s="228" t="s">
        <v>626</v>
      </c>
      <c r="C79" s="120">
        <f>G59</f>
        <v>12.97875</v>
      </c>
      <c r="D79" s="120">
        <v>200</v>
      </c>
      <c r="E79" s="120">
        <f t="shared" si="0"/>
        <v>2595.75</v>
      </c>
      <c r="F79" s="186"/>
      <c r="J79" s="165"/>
      <c r="L79" s="165"/>
      <c r="M79" s="165"/>
      <c r="N79" s="165"/>
      <c r="O79" s="165"/>
      <c r="P79" s="165"/>
      <c r="Q79" s="175"/>
    </row>
    <row r="80" spans="1:18">
      <c r="A80" s="103"/>
      <c r="B80" s="231" t="s">
        <v>627</v>
      </c>
      <c r="C80" s="120">
        <f>G65</f>
        <v>0.60749999999999993</v>
      </c>
      <c r="D80" s="120">
        <v>80</v>
      </c>
      <c r="E80" s="210">
        <f t="shared" si="0"/>
        <v>48.599999999999994</v>
      </c>
      <c r="F80" s="186"/>
      <c r="J80" s="165"/>
      <c r="L80" s="165"/>
      <c r="M80" s="165"/>
      <c r="N80" s="165"/>
      <c r="O80" s="165"/>
      <c r="P80" s="165"/>
      <c r="Q80" s="175"/>
    </row>
    <row r="81" spans="1:18" ht="15">
      <c r="A81" s="103"/>
      <c r="B81" s="149"/>
      <c r="C81" s="121"/>
      <c r="D81" s="121"/>
      <c r="E81" s="140">
        <f>SUM(E72:E80)</f>
        <v>13194.799312499999</v>
      </c>
      <c r="F81" s="232" t="s">
        <v>537</v>
      </c>
      <c r="J81" s="165"/>
      <c r="L81" s="165"/>
      <c r="M81" s="165"/>
      <c r="N81" s="165"/>
      <c r="O81" s="165"/>
      <c r="P81" s="165"/>
      <c r="Q81" s="175"/>
    </row>
    <row r="82" spans="1:18">
      <c r="A82" s="103"/>
      <c r="B82" s="149"/>
      <c r="C82" s="121"/>
      <c r="D82" s="121"/>
      <c r="E82" s="140">
        <f>E81/100</f>
        <v>131.94799312499998</v>
      </c>
      <c r="F82" s="140" t="s">
        <v>628</v>
      </c>
      <c r="J82" s="165"/>
      <c r="L82" s="165"/>
      <c r="M82" s="165"/>
      <c r="N82" s="165"/>
      <c r="O82" s="165"/>
      <c r="P82" s="165"/>
      <c r="Q82" s="175"/>
    </row>
    <row r="83" spans="1:18" s="149" customFormat="1" ht="15">
      <c r="A83" s="135"/>
      <c r="C83" s="186"/>
      <c r="D83" s="211"/>
      <c r="E83" s="233"/>
      <c r="F83" s="121"/>
      <c r="J83" s="165"/>
      <c r="K83" s="213"/>
      <c r="L83" s="164"/>
      <c r="M83" s="165"/>
      <c r="N83" s="165"/>
      <c r="O83" s="165"/>
      <c r="P83" s="165"/>
      <c r="Q83" s="164"/>
      <c r="R83" s="164"/>
    </row>
    <row r="84" spans="1:18" ht="15">
      <c r="A84" s="103">
        <v>7</v>
      </c>
      <c r="B84" s="106" t="s">
        <v>629</v>
      </c>
      <c r="J84" s="165"/>
      <c r="K84" s="213"/>
      <c r="M84" s="165"/>
      <c r="N84" s="165"/>
      <c r="O84" s="165"/>
      <c r="P84" s="165"/>
    </row>
    <row r="85" spans="1:18" ht="15">
      <c r="A85" s="103"/>
      <c r="B85" s="216"/>
      <c r="J85" s="165"/>
      <c r="K85" s="213"/>
      <c r="M85" s="165"/>
      <c r="N85" s="165"/>
      <c r="O85" s="165"/>
      <c r="P85" s="165"/>
    </row>
    <row r="86" spans="1:18">
      <c r="A86" s="103"/>
      <c r="B86" t="s">
        <v>612</v>
      </c>
      <c r="C86" s="121">
        <v>4</v>
      </c>
      <c r="D86" s="121">
        <v>0.4</v>
      </c>
      <c r="E86" s="121"/>
      <c r="F86" s="121">
        <v>2.15</v>
      </c>
      <c r="G86" s="120">
        <f t="shared" ref="G86:G93" si="1">F86*D86*C86</f>
        <v>3.44</v>
      </c>
      <c r="J86" s="165"/>
      <c r="K86" s="1"/>
      <c r="L86" s="1"/>
      <c r="M86" s="1"/>
      <c r="N86" s="1"/>
      <c r="O86" s="165"/>
      <c r="P86" s="165"/>
    </row>
    <row r="87" spans="1:18">
      <c r="A87" s="103"/>
      <c r="C87" s="1">
        <v>4</v>
      </c>
      <c r="D87" s="1">
        <v>0.2</v>
      </c>
      <c r="F87" s="1">
        <v>2.15</v>
      </c>
      <c r="G87" s="120">
        <f t="shared" si="1"/>
        <v>1.72</v>
      </c>
      <c r="J87" s="165"/>
      <c r="K87" s="1"/>
      <c r="L87" s="1"/>
      <c r="M87" s="1"/>
      <c r="N87" s="1"/>
      <c r="O87" s="165"/>
      <c r="P87" s="165"/>
    </row>
    <row r="88" spans="1:18">
      <c r="A88" s="103"/>
      <c r="C88" s="1">
        <v>2</v>
      </c>
      <c r="D88" s="158">
        <v>3</v>
      </c>
      <c r="F88" s="1">
        <v>0.4</v>
      </c>
      <c r="G88" s="120">
        <f t="shared" si="1"/>
        <v>2.4000000000000004</v>
      </c>
      <c r="J88" s="165"/>
      <c r="K88" s="1"/>
      <c r="L88" s="1"/>
      <c r="M88" s="1"/>
      <c r="N88" s="1"/>
      <c r="O88" s="165"/>
      <c r="P88" s="165"/>
    </row>
    <row r="89" spans="1:18">
      <c r="A89" s="103"/>
      <c r="C89" s="1">
        <v>2</v>
      </c>
      <c r="D89" s="158">
        <v>3</v>
      </c>
      <c r="F89" s="1">
        <v>0.4</v>
      </c>
      <c r="G89" s="120">
        <f t="shared" si="1"/>
        <v>2.4000000000000004</v>
      </c>
      <c r="J89" s="165"/>
      <c r="K89" s="1"/>
      <c r="L89" s="1"/>
      <c r="M89" s="1"/>
      <c r="N89" s="1"/>
      <c r="O89" s="165"/>
      <c r="P89" s="165"/>
    </row>
    <row r="90" spans="1:18" ht="15">
      <c r="A90" s="103"/>
      <c r="C90" s="1">
        <v>40</v>
      </c>
      <c r="D90" s="1">
        <v>0.2</v>
      </c>
      <c r="F90" s="1">
        <v>2.15</v>
      </c>
      <c r="G90" s="120">
        <f t="shared" si="1"/>
        <v>17.2</v>
      </c>
      <c r="J90" s="165"/>
      <c r="K90" s="213"/>
      <c r="M90" s="165"/>
      <c r="N90" s="165"/>
      <c r="O90" s="165"/>
      <c r="P90" s="165"/>
    </row>
    <row r="91" spans="1:18" ht="15">
      <c r="A91" s="103"/>
      <c r="C91" s="1">
        <v>40</v>
      </c>
      <c r="D91" s="1">
        <v>0.2</v>
      </c>
      <c r="F91" s="1">
        <v>2.15</v>
      </c>
      <c r="G91" s="120">
        <f t="shared" si="1"/>
        <v>17.2</v>
      </c>
      <c r="J91" s="165"/>
      <c r="K91" s="213"/>
      <c r="M91" s="165"/>
      <c r="N91" s="165"/>
      <c r="O91" s="165"/>
      <c r="P91" s="165"/>
    </row>
    <row r="92" spans="1:18" ht="15">
      <c r="A92" s="103"/>
      <c r="C92" s="1">
        <v>20</v>
      </c>
      <c r="D92" s="1">
        <v>2.2000000000000002</v>
      </c>
      <c r="F92" s="1">
        <v>0.4</v>
      </c>
      <c r="G92" s="120">
        <f t="shared" si="1"/>
        <v>17.600000000000001</v>
      </c>
      <c r="J92" s="165"/>
      <c r="K92" s="213"/>
      <c r="M92" s="165"/>
      <c r="N92" s="165"/>
      <c r="O92" s="165"/>
      <c r="P92" s="165"/>
    </row>
    <row r="93" spans="1:18" ht="15">
      <c r="A93" s="103"/>
      <c r="C93" s="1">
        <v>20</v>
      </c>
      <c r="D93" s="1">
        <v>2.2000000000000002</v>
      </c>
      <c r="F93" s="1">
        <v>0.4</v>
      </c>
      <c r="G93" s="210">
        <f t="shared" si="1"/>
        <v>17.600000000000001</v>
      </c>
      <c r="J93" s="165"/>
      <c r="K93" s="213"/>
      <c r="M93" s="165"/>
      <c r="N93" s="165"/>
      <c r="O93" s="165"/>
      <c r="P93" s="165"/>
    </row>
    <row r="94" spans="1:18" ht="15">
      <c r="A94" s="103"/>
      <c r="G94" s="217">
        <f>SUM(G86:G93)</f>
        <v>79.56</v>
      </c>
      <c r="H94" s="104" t="s">
        <v>32</v>
      </c>
      <c r="J94" s="165"/>
      <c r="K94" s="213"/>
      <c r="M94" s="165"/>
      <c r="N94" s="165"/>
      <c r="O94" s="165"/>
      <c r="P94" s="165"/>
    </row>
    <row r="95" spans="1:18" ht="15">
      <c r="A95" s="103"/>
      <c r="J95" s="165"/>
      <c r="K95" s="213"/>
      <c r="M95" s="165"/>
      <c r="N95" s="165"/>
      <c r="O95" s="165"/>
      <c r="P95" s="165"/>
    </row>
    <row r="96" spans="1:18" ht="15">
      <c r="A96" s="103">
        <v>8</v>
      </c>
      <c r="B96" s="106" t="s">
        <v>630</v>
      </c>
      <c r="J96" s="165"/>
      <c r="K96" s="213"/>
    </row>
    <row r="97" spans="1:17" ht="15">
      <c r="A97" s="103"/>
      <c r="B97" s="216"/>
      <c r="J97" s="165"/>
      <c r="K97" s="213"/>
    </row>
    <row r="98" spans="1:17" ht="15">
      <c r="A98" s="103"/>
      <c r="B98" t="s">
        <v>612</v>
      </c>
      <c r="C98" s="121">
        <v>4</v>
      </c>
      <c r="D98" s="121">
        <v>0.4</v>
      </c>
      <c r="E98" s="121"/>
      <c r="F98" s="121">
        <v>2.15</v>
      </c>
      <c r="G98" s="120">
        <f t="shared" ref="G98:G105" si="2">F98*D98*C98</f>
        <v>3.44</v>
      </c>
      <c r="J98" s="165"/>
      <c r="K98" s="213"/>
      <c r="M98" s="165"/>
      <c r="N98" s="165"/>
      <c r="O98" s="165"/>
      <c r="P98" s="165"/>
    </row>
    <row r="99" spans="1:17" ht="15">
      <c r="A99" s="103"/>
      <c r="C99" s="1">
        <v>4</v>
      </c>
      <c r="D99" s="1">
        <v>0.2</v>
      </c>
      <c r="F99" s="1">
        <v>2.15</v>
      </c>
      <c r="G99" s="120">
        <f t="shared" si="2"/>
        <v>1.72</v>
      </c>
      <c r="J99" s="165"/>
      <c r="K99" s="213"/>
      <c r="M99" s="165"/>
      <c r="N99" s="165"/>
      <c r="O99" s="165"/>
      <c r="P99" s="165"/>
    </row>
    <row r="100" spans="1:17" ht="15">
      <c r="A100" s="103"/>
      <c r="C100" s="1">
        <v>2</v>
      </c>
      <c r="D100" s="158">
        <v>3</v>
      </c>
      <c r="F100" s="1">
        <v>0.4</v>
      </c>
      <c r="G100" s="120">
        <f t="shared" si="2"/>
        <v>2.4000000000000004</v>
      </c>
      <c r="J100" s="165"/>
      <c r="K100" s="213"/>
      <c r="M100" s="165"/>
      <c r="N100" s="165"/>
      <c r="O100" s="165"/>
      <c r="P100" s="165"/>
    </row>
    <row r="101" spans="1:17" ht="15">
      <c r="A101" s="103"/>
      <c r="C101" s="1">
        <v>2</v>
      </c>
      <c r="D101" s="158">
        <v>3</v>
      </c>
      <c r="F101" s="1">
        <v>0.4</v>
      </c>
      <c r="G101" s="120">
        <f t="shared" si="2"/>
        <v>2.4000000000000004</v>
      </c>
      <c r="J101" s="165"/>
      <c r="K101" s="213"/>
      <c r="M101" s="165"/>
      <c r="N101" s="165"/>
      <c r="O101" s="165"/>
      <c r="P101" s="165"/>
    </row>
    <row r="102" spans="1:17" ht="15">
      <c r="A102" s="103"/>
      <c r="C102" s="1">
        <v>40</v>
      </c>
      <c r="D102" s="1">
        <v>0.2</v>
      </c>
      <c r="F102" s="1">
        <v>2.15</v>
      </c>
      <c r="G102" s="120">
        <f t="shared" si="2"/>
        <v>17.2</v>
      </c>
      <c r="J102" s="165"/>
      <c r="K102" s="213"/>
      <c r="M102" s="165"/>
      <c r="N102" s="165"/>
      <c r="O102" s="165"/>
      <c r="P102" s="165"/>
    </row>
    <row r="103" spans="1:17" ht="15">
      <c r="A103" s="103"/>
      <c r="C103" s="1">
        <v>40</v>
      </c>
      <c r="D103" s="1">
        <v>0.2</v>
      </c>
      <c r="F103" s="1">
        <v>2.15</v>
      </c>
      <c r="G103" s="120">
        <f t="shared" si="2"/>
        <v>17.2</v>
      </c>
      <c r="J103" s="165"/>
      <c r="K103" s="213"/>
      <c r="M103" s="165"/>
      <c r="N103" s="165"/>
      <c r="O103" s="165"/>
      <c r="P103" s="165"/>
    </row>
    <row r="104" spans="1:17" ht="15">
      <c r="A104" s="103"/>
      <c r="C104" s="1">
        <v>20</v>
      </c>
      <c r="D104" s="1">
        <v>2.2000000000000002</v>
      </c>
      <c r="F104" s="1">
        <v>0.4</v>
      </c>
      <c r="G104" s="120">
        <f t="shared" si="2"/>
        <v>17.600000000000001</v>
      </c>
      <c r="J104" s="165"/>
      <c r="K104" s="213"/>
      <c r="M104" s="165"/>
      <c r="N104" s="165"/>
      <c r="O104" s="165"/>
      <c r="P104" s="165"/>
    </row>
    <row r="105" spans="1:17" ht="15">
      <c r="A105" s="103"/>
      <c r="C105" s="1">
        <v>20</v>
      </c>
      <c r="D105" s="1">
        <v>2.2000000000000002</v>
      </c>
      <c r="F105" s="1">
        <v>0.4</v>
      </c>
      <c r="G105" s="210">
        <f t="shared" si="2"/>
        <v>17.600000000000001</v>
      </c>
      <c r="J105" s="165"/>
      <c r="K105" s="213"/>
      <c r="M105" s="165"/>
      <c r="N105" s="165"/>
      <c r="O105" s="165"/>
      <c r="P105" s="165"/>
    </row>
    <row r="106" spans="1:17" ht="15">
      <c r="A106" s="103"/>
      <c r="G106" s="217">
        <f>SUM(G98:G105)</f>
        <v>79.56</v>
      </c>
      <c r="H106" s="104" t="s">
        <v>32</v>
      </c>
      <c r="J106" s="165"/>
      <c r="K106" s="213"/>
      <c r="M106" s="165"/>
      <c r="N106" s="165"/>
      <c r="O106" s="165"/>
      <c r="P106" s="165"/>
    </row>
    <row r="107" spans="1:17" ht="15">
      <c r="A107" s="103"/>
      <c r="J107" s="165"/>
      <c r="K107" s="213"/>
      <c r="M107" s="165"/>
      <c r="N107" s="165"/>
      <c r="O107" s="165"/>
      <c r="P107" s="165"/>
    </row>
    <row r="108" spans="1:17" ht="15">
      <c r="A108" s="103">
        <v>9</v>
      </c>
      <c r="B108" s="106" t="s">
        <v>631</v>
      </c>
      <c r="G108" s="2"/>
      <c r="J108" s="165"/>
      <c r="M108" s="165"/>
      <c r="N108" s="165"/>
      <c r="O108" s="165"/>
      <c r="P108" s="165"/>
      <c r="Q108" s="165"/>
    </row>
    <row r="109" spans="1:17" ht="15">
      <c r="A109" s="103"/>
      <c r="B109" s="216"/>
      <c r="C109" s="1">
        <v>1</v>
      </c>
      <c r="D109" s="1">
        <v>39.979999999999997</v>
      </c>
      <c r="G109" s="234">
        <f>D109*C109</f>
        <v>39.979999999999997</v>
      </c>
      <c r="H109" s="104"/>
      <c r="J109" s="165"/>
      <c r="M109" s="165"/>
      <c r="N109" s="165"/>
      <c r="O109" s="165"/>
      <c r="P109" s="165"/>
      <c r="Q109" s="165"/>
    </row>
    <row r="110" spans="1:17" ht="15">
      <c r="A110" s="103"/>
      <c r="G110" s="218">
        <f>SUM(G109:G109)</f>
        <v>39.979999999999997</v>
      </c>
      <c r="H110" s="104" t="s">
        <v>434</v>
      </c>
      <c r="J110" s="165"/>
      <c r="M110" s="165"/>
      <c r="N110" s="165"/>
      <c r="O110" s="165"/>
      <c r="P110" s="165"/>
    </row>
    <row r="111" spans="1:17" ht="15">
      <c r="A111" s="103"/>
      <c r="G111" s="211">
        <f>G110*10.48</f>
        <v>418.99039999999997</v>
      </c>
      <c r="H111" s="104" t="s">
        <v>447</v>
      </c>
      <c r="J111" s="165"/>
      <c r="K111" s="213"/>
      <c r="M111" s="165"/>
      <c r="N111" s="165"/>
      <c r="O111" s="165"/>
      <c r="P111" s="165"/>
    </row>
    <row r="112" spans="1:17" ht="15">
      <c r="A112" s="103">
        <v>10</v>
      </c>
      <c r="B112" s="106" t="s">
        <v>632</v>
      </c>
      <c r="J112" s="165"/>
      <c r="L112" s="165"/>
      <c r="M112" s="165"/>
      <c r="N112" s="165"/>
      <c r="O112" s="165"/>
      <c r="P112" s="165"/>
      <c r="Q112" s="173"/>
    </row>
    <row r="113" spans="1:20" ht="15">
      <c r="A113" s="103"/>
      <c r="B113" s="106" t="s">
        <v>482</v>
      </c>
      <c r="J113" s="165"/>
      <c r="L113" s="165"/>
      <c r="M113" s="165"/>
      <c r="N113" s="1251"/>
      <c r="O113" s="1251"/>
      <c r="P113" s="165"/>
      <c r="Q113" s="173"/>
    </row>
    <row r="114" spans="1:20" ht="15">
      <c r="A114" s="103"/>
      <c r="B114" s="222" t="s">
        <v>633</v>
      </c>
      <c r="C114" s="148">
        <v>2</v>
      </c>
      <c r="D114" s="1260">
        <v>1</v>
      </c>
      <c r="E114" s="1260"/>
      <c r="F114" s="195"/>
      <c r="G114" s="235">
        <f>D114*C114</f>
        <v>2</v>
      </c>
      <c r="J114" s="165"/>
      <c r="L114" s="165"/>
      <c r="M114" s="165"/>
      <c r="N114" s="165"/>
      <c r="O114" s="165"/>
      <c r="P114" s="165"/>
      <c r="Q114" s="173"/>
    </row>
    <row r="115" spans="1:20" ht="15">
      <c r="A115" s="103"/>
      <c r="G115" s="211">
        <f>SUM(G114:G114)</f>
        <v>2</v>
      </c>
      <c r="H115" s="104" t="s">
        <v>32</v>
      </c>
      <c r="J115" s="165"/>
      <c r="L115" s="165"/>
      <c r="M115" s="165"/>
      <c r="N115" s="165"/>
      <c r="O115" s="165"/>
      <c r="P115" s="165"/>
      <c r="Q115" s="173"/>
    </row>
    <row r="116" spans="1:20">
      <c r="A116" s="103"/>
      <c r="G116" s="158"/>
      <c r="J116" s="165"/>
      <c r="M116" s="165"/>
      <c r="N116" s="1251"/>
      <c r="O116" s="1251"/>
      <c r="P116" s="165"/>
      <c r="Q116" s="173"/>
      <c r="S116" s="149"/>
      <c r="T116" s="149"/>
    </row>
    <row r="117" spans="1:20" ht="15">
      <c r="A117" s="103">
        <v>11</v>
      </c>
      <c r="B117" s="106" t="s">
        <v>634</v>
      </c>
      <c r="G117" s="158"/>
      <c r="J117" s="165"/>
      <c r="L117" s="165"/>
      <c r="M117" s="165"/>
      <c r="N117" s="165"/>
      <c r="O117" s="165"/>
      <c r="P117" s="165"/>
      <c r="Q117" s="173"/>
    </row>
    <row r="118" spans="1:20" s="149" customFormat="1" ht="15">
      <c r="A118" s="121"/>
      <c r="B118" s="209"/>
      <c r="C118" s="1">
        <v>2</v>
      </c>
      <c r="D118" s="1">
        <v>11</v>
      </c>
      <c r="E118" s="1">
        <v>0.6</v>
      </c>
      <c r="F118" s="1"/>
      <c r="G118" s="1">
        <f>E118*D118*C118</f>
        <v>13.2</v>
      </c>
      <c r="L118" s="121"/>
      <c r="M118" s="121"/>
      <c r="N118" s="121"/>
      <c r="O118" s="121"/>
      <c r="P118" s="165"/>
      <c r="Q118" s="104"/>
      <c r="R118" s="164"/>
      <c r="S118"/>
      <c r="T118"/>
    </row>
    <row r="119" spans="1:20">
      <c r="C119" s="1">
        <v>1</v>
      </c>
      <c r="D119" s="1">
        <v>1</v>
      </c>
      <c r="E119" s="1">
        <v>0.9</v>
      </c>
      <c r="G119" s="1">
        <f>E119*D119*C119</f>
        <v>0.9</v>
      </c>
      <c r="J119" s="165"/>
      <c r="M119" s="165"/>
      <c r="N119" s="165"/>
      <c r="O119" s="165"/>
      <c r="P119" s="165"/>
    </row>
    <row r="120" spans="1:20" ht="15">
      <c r="C120" s="1">
        <v>1</v>
      </c>
      <c r="D120" s="1254">
        <v>42.9</v>
      </c>
      <c r="E120" s="1254"/>
      <c r="G120" s="234">
        <f>D120*C120</f>
        <v>42.9</v>
      </c>
      <c r="J120" s="165"/>
      <c r="K120" s="213"/>
      <c r="M120" s="165"/>
      <c r="N120" s="165"/>
      <c r="O120" s="165"/>
      <c r="P120" s="165"/>
    </row>
    <row r="121" spans="1:20" ht="15">
      <c r="G121" s="218">
        <f>SUM(G118:G120)</f>
        <v>57</v>
      </c>
      <c r="H121" s="104" t="s">
        <v>32</v>
      </c>
      <c r="J121" s="165"/>
      <c r="L121" s="165"/>
      <c r="M121" s="165"/>
      <c r="N121" s="165"/>
      <c r="O121" s="165"/>
      <c r="P121" s="165"/>
      <c r="Q121" s="175"/>
    </row>
    <row r="122" spans="1:20">
      <c r="J122" s="165"/>
      <c r="L122" s="165"/>
      <c r="M122" s="165"/>
      <c r="N122" s="165"/>
      <c r="O122" s="165"/>
      <c r="P122" s="165"/>
      <c r="Q122" s="175"/>
    </row>
    <row r="123" spans="1:20">
      <c r="J123" s="165"/>
      <c r="L123" s="165"/>
      <c r="M123" s="165"/>
      <c r="N123" s="165"/>
      <c r="O123" s="165"/>
      <c r="P123" s="165"/>
      <c r="Q123" s="175"/>
    </row>
    <row r="124" spans="1:20">
      <c r="J124" s="165"/>
      <c r="L124" s="165"/>
      <c r="M124" s="165"/>
      <c r="N124" s="165"/>
      <c r="O124" s="165"/>
      <c r="P124" s="165"/>
      <c r="Q124" s="175"/>
    </row>
    <row r="142" spans="10:17">
      <c r="J142" s="165"/>
      <c r="L142" s="165"/>
      <c r="M142" s="165"/>
      <c r="N142" s="165"/>
      <c r="O142" s="165"/>
      <c r="P142" s="165"/>
      <c r="Q142" s="175"/>
    </row>
    <row r="143" spans="10:17">
      <c r="J143" s="165"/>
      <c r="L143" s="165"/>
      <c r="M143" s="165"/>
      <c r="N143" s="165"/>
      <c r="O143" s="165"/>
      <c r="P143" s="165"/>
      <c r="Q143" s="175"/>
    </row>
    <row r="144" spans="10:17">
      <c r="J144" s="165"/>
      <c r="L144" s="165"/>
      <c r="M144" s="165"/>
      <c r="N144" s="165"/>
      <c r="O144" s="165"/>
      <c r="P144" s="165"/>
      <c r="Q144" s="175"/>
    </row>
    <row r="145" spans="10:17">
      <c r="J145" s="165"/>
      <c r="L145" s="165"/>
      <c r="M145" s="165"/>
      <c r="N145" s="165"/>
      <c r="O145" s="165"/>
      <c r="P145" s="165"/>
      <c r="Q145" s="175"/>
    </row>
    <row r="146" spans="10:17">
      <c r="J146" s="165"/>
      <c r="L146" s="165"/>
      <c r="M146" s="165"/>
      <c r="N146" s="165"/>
      <c r="O146" s="165"/>
      <c r="P146" s="165"/>
      <c r="Q146" s="175"/>
    </row>
    <row r="147" spans="10:17">
      <c r="J147" s="165"/>
      <c r="L147" s="165"/>
      <c r="M147" s="165"/>
      <c r="N147" s="165"/>
      <c r="O147" s="165"/>
      <c r="P147" s="165"/>
      <c r="Q147" s="175"/>
    </row>
    <row r="148" spans="10:17">
      <c r="J148" s="165"/>
      <c r="L148" s="165"/>
      <c r="M148" s="165"/>
      <c r="N148" s="165"/>
      <c r="O148" s="165"/>
      <c r="P148" s="165"/>
      <c r="Q148" s="175"/>
    </row>
    <row r="149" spans="10:17">
      <c r="J149" s="165"/>
      <c r="L149" s="165"/>
      <c r="M149" s="165"/>
      <c r="N149" s="165"/>
      <c r="O149" s="165"/>
      <c r="P149" s="165"/>
      <c r="Q149" s="175"/>
    </row>
    <row r="150" spans="10:17">
      <c r="J150" s="165"/>
      <c r="L150" s="165"/>
      <c r="M150" s="165"/>
      <c r="N150" s="165"/>
      <c r="O150" s="165"/>
      <c r="P150" s="165"/>
      <c r="Q150" s="175"/>
    </row>
    <row r="151" spans="10:17">
      <c r="J151" s="165"/>
      <c r="L151" s="165"/>
      <c r="M151" s="165"/>
      <c r="N151" s="165"/>
      <c r="O151" s="165"/>
      <c r="P151" s="165"/>
      <c r="Q151" s="175"/>
    </row>
    <row r="152" spans="10:17">
      <c r="J152" s="165"/>
      <c r="L152" s="165"/>
      <c r="M152" s="165"/>
      <c r="N152" s="165"/>
      <c r="O152" s="165"/>
      <c r="P152" s="165"/>
      <c r="Q152" s="175"/>
    </row>
    <row r="153" spans="10:17">
      <c r="J153" s="165"/>
      <c r="L153" s="165"/>
      <c r="M153" s="165"/>
      <c r="N153" s="165"/>
      <c r="O153" s="165"/>
      <c r="P153" s="165"/>
      <c r="Q153" s="175"/>
    </row>
    <row r="154" spans="10:17">
      <c r="J154" s="165"/>
      <c r="L154" s="165"/>
      <c r="M154" s="165"/>
      <c r="N154" s="165"/>
      <c r="O154" s="165"/>
      <c r="P154" s="165"/>
      <c r="Q154" s="175"/>
    </row>
    <row r="155" spans="10:17">
      <c r="J155" s="165"/>
      <c r="L155" s="165"/>
      <c r="M155" s="165"/>
      <c r="N155" s="165"/>
      <c r="O155" s="165"/>
      <c r="P155" s="165"/>
      <c r="Q155" s="175"/>
    </row>
    <row r="156" spans="10:17">
      <c r="J156" s="165"/>
      <c r="L156" s="165"/>
      <c r="M156" s="165"/>
      <c r="N156" s="165"/>
      <c r="O156" s="165"/>
      <c r="P156" s="165"/>
      <c r="Q156" s="175"/>
    </row>
    <row r="157" spans="10:17">
      <c r="J157" s="165"/>
      <c r="L157" s="165"/>
      <c r="M157" s="165"/>
      <c r="N157" s="165"/>
      <c r="O157" s="165"/>
      <c r="P157" s="165"/>
      <c r="Q157" s="175"/>
    </row>
    <row r="158" spans="10:17">
      <c r="J158" s="165"/>
      <c r="L158" s="165"/>
      <c r="M158" s="165"/>
      <c r="N158" s="165"/>
      <c r="O158" s="165"/>
      <c r="P158" s="165"/>
      <c r="Q158" s="175"/>
    </row>
    <row r="159" spans="10:17">
      <c r="J159" s="165"/>
      <c r="L159" s="165"/>
      <c r="M159" s="165"/>
      <c r="N159" s="165"/>
      <c r="O159" s="165"/>
      <c r="P159" s="165"/>
      <c r="Q159" s="175"/>
    </row>
    <row r="160" spans="10:17">
      <c r="J160" s="165"/>
      <c r="L160" s="165"/>
      <c r="M160" s="165"/>
      <c r="N160" s="165"/>
      <c r="O160" s="165"/>
      <c r="P160" s="165"/>
      <c r="Q160" s="175"/>
    </row>
    <row r="161" spans="10:17">
      <c r="J161" s="165"/>
      <c r="L161" s="165"/>
      <c r="M161" s="165"/>
      <c r="N161" s="165"/>
      <c r="O161" s="165"/>
      <c r="P161" s="165"/>
      <c r="Q161" s="175"/>
    </row>
    <row r="162" spans="10:17">
      <c r="J162" s="165"/>
      <c r="L162" s="165"/>
      <c r="M162" s="165"/>
      <c r="N162" s="165"/>
      <c r="O162" s="165"/>
      <c r="P162" s="165"/>
      <c r="Q162" s="175"/>
    </row>
    <row r="163" spans="10:17">
      <c r="J163" s="165"/>
      <c r="L163" s="165"/>
      <c r="M163" s="165"/>
      <c r="N163" s="165"/>
      <c r="O163" s="165"/>
      <c r="P163" s="165"/>
      <c r="Q163" s="175"/>
    </row>
    <row r="164" spans="10:17">
      <c r="J164" s="165"/>
      <c r="L164" s="165"/>
      <c r="M164" s="165"/>
      <c r="N164" s="165"/>
      <c r="O164" s="165"/>
      <c r="P164" s="165"/>
      <c r="Q164" s="175"/>
    </row>
    <row r="165" spans="10:17">
      <c r="J165" s="165"/>
      <c r="L165" s="165"/>
      <c r="M165" s="165"/>
      <c r="N165" s="165"/>
      <c r="O165" s="165"/>
      <c r="P165" s="165"/>
      <c r="Q165" s="175"/>
    </row>
    <row r="166" spans="10:17">
      <c r="J166" s="165"/>
      <c r="L166" s="165"/>
      <c r="M166" s="165"/>
      <c r="N166" s="165"/>
      <c r="O166" s="165"/>
      <c r="P166" s="165"/>
      <c r="Q166" s="175"/>
    </row>
    <row r="167" spans="10:17">
      <c r="J167" s="165"/>
      <c r="L167" s="165"/>
      <c r="M167" s="165"/>
      <c r="N167" s="165"/>
      <c r="O167" s="165"/>
      <c r="P167" s="165"/>
      <c r="Q167" s="175"/>
    </row>
    <row r="168" spans="10:17">
      <c r="J168" s="165"/>
      <c r="L168" s="165"/>
      <c r="M168" s="165"/>
      <c r="N168" s="165"/>
      <c r="O168" s="165"/>
      <c r="P168" s="165"/>
      <c r="Q168" s="175"/>
    </row>
    <row r="169" spans="10:17">
      <c r="J169" s="165"/>
      <c r="L169" s="165"/>
      <c r="M169" s="165"/>
      <c r="N169" s="165"/>
      <c r="O169" s="165"/>
      <c r="P169" s="165"/>
      <c r="Q169" s="175"/>
    </row>
    <row r="170" spans="10:17">
      <c r="J170" s="165"/>
      <c r="L170" s="165"/>
      <c r="M170" s="165"/>
      <c r="N170" s="165"/>
      <c r="O170" s="165"/>
      <c r="P170" s="165"/>
      <c r="Q170" s="175"/>
    </row>
    <row r="171" spans="10:17">
      <c r="J171" s="165"/>
      <c r="L171" s="165"/>
      <c r="M171" s="165"/>
      <c r="N171" s="165"/>
      <c r="O171" s="165"/>
      <c r="P171" s="165"/>
      <c r="Q171" s="175"/>
    </row>
    <row r="172" spans="10:17">
      <c r="J172" s="165"/>
      <c r="L172" s="165"/>
      <c r="M172" s="165"/>
      <c r="N172" s="165"/>
      <c r="O172" s="165"/>
      <c r="P172" s="165"/>
      <c r="Q172" s="175"/>
    </row>
    <row r="173" spans="10:17">
      <c r="J173" s="165"/>
      <c r="L173" s="165"/>
      <c r="M173" s="165"/>
      <c r="N173" s="165"/>
      <c r="O173" s="165"/>
      <c r="P173" s="165"/>
      <c r="Q173" s="175"/>
    </row>
    <row r="174" spans="10:17">
      <c r="J174" s="165"/>
      <c r="L174" s="165"/>
      <c r="M174" s="165"/>
      <c r="N174" s="165"/>
      <c r="O174" s="165"/>
      <c r="P174" s="165"/>
      <c r="Q174" s="175"/>
    </row>
    <row r="175" spans="10:17">
      <c r="J175" s="165"/>
      <c r="L175" s="165"/>
      <c r="M175" s="165"/>
      <c r="N175" s="165"/>
      <c r="O175" s="165"/>
      <c r="P175" s="165"/>
      <c r="Q175" s="175"/>
    </row>
    <row r="176" spans="10:17">
      <c r="J176" s="165"/>
      <c r="L176" s="165"/>
      <c r="M176" s="165"/>
      <c r="N176" s="165"/>
      <c r="O176" s="165"/>
      <c r="P176" s="165"/>
      <c r="Q176" s="175"/>
    </row>
    <row r="177" spans="10:17">
      <c r="J177" s="165"/>
      <c r="L177" s="165"/>
      <c r="M177" s="165"/>
      <c r="N177" s="165"/>
      <c r="O177" s="165"/>
      <c r="P177" s="165"/>
      <c r="Q177" s="175"/>
    </row>
    <row r="178" spans="10:17">
      <c r="J178" s="165"/>
      <c r="L178" s="165"/>
      <c r="M178" s="165"/>
      <c r="N178" s="165"/>
      <c r="O178" s="165"/>
      <c r="P178" s="165"/>
      <c r="Q178" s="175"/>
    </row>
    <row r="179" spans="10:17">
      <c r="J179" s="165"/>
      <c r="L179" s="165"/>
      <c r="M179" s="165"/>
      <c r="N179" s="165"/>
      <c r="O179" s="165"/>
      <c r="P179" s="165"/>
      <c r="Q179" s="175"/>
    </row>
    <row r="180" spans="10:17">
      <c r="J180" s="165"/>
      <c r="L180" s="165"/>
      <c r="M180" s="165"/>
      <c r="N180" s="165"/>
      <c r="O180" s="165"/>
      <c r="P180" s="165"/>
      <c r="Q180" s="175"/>
    </row>
    <row r="181" spans="10:17">
      <c r="J181" s="165"/>
      <c r="L181" s="165"/>
      <c r="M181" s="165"/>
      <c r="N181" s="165"/>
      <c r="O181" s="165"/>
      <c r="P181" s="165"/>
      <c r="Q181" s="175"/>
    </row>
    <row r="182" spans="10:17">
      <c r="J182" s="165"/>
      <c r="L182" s="165"/>
      <c r="M182" s="165"/>
      <c r="N182" s="165"/>
      <c r="O182" s="165"/>
      <c r="P182" s="165"/>
      <c r="Q182" s="175"/>
    </row>
    <row r="183" spans="10:17">
      <c r="J183" s="165"/>
      <c r="L183" s="165"/>
      <c r="M183" s="165"/>
      <c r="N183" s="165"/>
      <c r="O183" s="165"/>
      <c r="P183" s="165"/>
      <c r="Q183" s="175"/>
    </row>
    <row r="184" spans="10:17">
      <c r="J184" s="165"/>
      <c r="L184" s="165"/>
      <c r="M184" s="165"/>
      <c r="N184" s="165"/>
      <c r="O184" s="165"/>
      <c r="P184" s="165"/>
      <c r="Q184" s="175"/>
    </row>
    <row r="185" spans="10:17">
      <c r="J185" s="165"/>
      <c r="L185" s="165"/>
      <c r="M185" s="165"/>
      <c r="N185" s="165"/>
      <c r="O185" s="165"/>
      <c r="P185" s="165"/>
      <c r="Q185" s="175"/>
    </row>
    <row r="186" spans="10:17">
      <c r="J186" s="165"/>
      <c r="M186" s="165"/>
      <c r="N186" s="1251"/>
      <c r="O186" s="1251"/>
      <c r="P186" s="165"/>
      <c r="Q186" s="175"/>
    </row>
    <row r="187" spans="10:17">
      <c r="J187" s="165"/>
      <c r="M187" s="165"/>
      <c r="N187" s="1251"/>
      <c r="O187" s="1251"/>
      <c r="P187" s="165"/>
      <c r="Q187" s="175"/>
    </row>
    <row r="188" spans="10:17">
      <c r="J188" s="165"/>
      <c r="L188" s="165"/>
      <c r="M188" s="165"/>
      <c r="N188" s="1251"/>
      <c r="O188" s="1251"/>
      <c r="P188" s="165"/>
      <c r="Q188" s="175"/>
    </row>
    <row r="189" spans="10:17">
      <c r="J189" s="165"/>
      <c r="L189" s="165"/>
      <c r="M189" s="165"/>
      <c r="N189" s="165"/>
      <c r="O189" s="165"/>
      <c r="P189" s="165"/>
      <c r="Q189" s="175"/>
    </row>
    <row r="190" spans="10:17">
      <c r="J190" s="165"/>
      <c r="L190" s="165"/>
      <c r="M190" s="165"/>
      <c r="N190" s="165"/>
      <c r="O190" s="165"/>
      <c r="P190" s="165"/>
      <c r="Q190" s="175"/>
    </row>
    <row r="191" spans="10:17">
      <c r="J191" s="165"/>
      <c r="L191" s="165"/>
      <c r="M191" s="165"/>
      <c r="N191" s="165"/>
      <c r="O191" s="165"/>
      <c r="P191" s="165"/>
      <c r="Q191" s="175"/>
    </row>
    <row r="192" spans="10:17">
      <c r="J192" s="165"/>
      <c r="L192" s="165"/>
      <c r="M192" s="165"/>
      <c r="N192" s="165"/>
      <c r="O192" s="165"/>
      <c r="P192" s="165"/>
      <c r="Q192" s="175"/>
    </row>
    <row r="193" spans="10:17">
      <c r="J193" s="165"/>
      <c r="L193" s="165"/>
      <c r="M193" s="165"/>
      <c r="N193" s="165"/>
      <c r="O193" s="165"/>
      <c r="P193" s="165"/>
      <c r="Q193" s="175"/>
    </row>
    <row r="194" spans="10:17">
      <c r="J194" s="165"/>
      <c r="L194" s="165"/>
      <c r="M194" s="165"/>
      <c r="N194" s="165"/>
      <c r="O194" s="165"/>
      <c r="P194" s="165"/>
      <c r="Q194" s="175"/>
    </row>
    <row r="195" spans="10:17">
      <c r="J195" s="165"/>
      <c r="L195" s="165"/>
      <c r="M195" s="165"/>
      <c r="N195" s="165"/>
      <c r="O195" s="165"/>
      <c r="P195" s="165"/>
      <c r="Q195" s="175"/>
    </row>
    <row r="196" spans="10:17">
      <c r="J196" s="165"/>
      <c r="L196" s="165"/>
      <c r="M196" s="165"/>
      <c r="N196" s="165"/>
      <c r="O196" s="165"/>
      <c r="P196" s="165"/>
      <c r="Q196" s="175"/>
    </row>
    <row r="197" spans="10:17">
      <c r="J197" s="165"/>
      <c r="L197" s="165"/>
      <c r="M197" s="165"/>
      <c r="N197" s="165"/>
      <c r="O197" s="165"/>
      <c r="P197" s="165"/>
      <c r="Q197" s="175"/>
    </row>
    <row r="198" spans="10:17">
      <c r="J198" s="165"/>
      <c r="L198" s="165"/>
      <c r="M198" s="165"/>
      <c r="N198" s="165"/>
      <c r="O198" s="165"/>
      <c r="P198" s="165"/>
      <c r="Q198" s="175"/>
    </row>
    <row r="199" spans="10:17">
      <c r="J199" s="165"/>
      <c r="L199" s="165"/>
      <c r="M199" s="165"/>
      <c r="N199" s="165"/>
      <c r="O199" s="165"/>
      <c r="P199" s="165"/>
      <c r="Q199" s="175"/>
    </row>
    <row r="200" spans="10:17">
      <c r="J200" s="165"/>
      <c r="L200" s="165"/>
      <c r="M200" s="165"/>
      <c r="N200" s="165"/>
      <c r="O200" s="165"/>
      <c r="P200" s="165"/>
      <c r="Q200" s="175"/>
    </row>
    <row r="201" spans="10:17">
      <c r="J201" s="165"/>
      <c r="L201" s="165"/>
      <c r="M201" s="165"/>
      <c r="N201" s="165"/>
      <c r="O201" s="165"/>
      <c r="P201" s="165"/>
      <c r="Q201" s="175"/>
    </row>
    <row r="202" spans="10:17">
      <c r="J202" s="165"/>
      <c r="L202" s="165"/>
      <c r="M202" s="165"/>
      <c r="N202" s="165"/>
      <c r="O202" s="165"/>
      <c r="P202" s="165"/>
      <c r="Q202" s="175"/>
    </row>
    <row r="203" spans="10:17">
      <c r="J203" s="165"/>
      <c r="L203" s="165"/>
      <c r="M203" s="165"/>
      <c r="N203" s="165"/>
      <c r="O203" s="165"/>
      <c r="P203" s="165"/>
      <c r="Q203" s="175"/>
    </row>
    <row r="204" spans="10:17">
      <c r="J204" s="165"/>
      <c r="L204" s="165"/>
      <c r="M204" s="165"/>
      <c r="N204" s="165"/>
      <c r="O204" s="165"/>
      <c r="P204" s="165"/>
      <c r="Q204" s="175"/>
    </row>
    <row r="205" spans="10:17">
      <c r="J205" s="165"/>
      <c r="L205" s="165"/>
      <c r="M205" s="165"/>
      <c r="N205" s="165"/>
      <c r="O205" s="165"/>
      <c r="P205" s="165"/>
      <c r="Q205" s="175"/>
    </row>
    <row r="206" spans="10:17">
      <c r="J206" s="165"/>
      <c r="L206" s="165"/>
      <c r="M206" s="165"/>
      <c r="N206" s="165"/>
      <c r="O206" s="165"/>
      <c r="P206" s="165"/>
      <c r="Q206" s="175"/>
    </row>
    <row r="207" spans="10:17">
      <c r="J207" s="165"/>
      <c r="L207" s="165"/>
      <c r="M207" s="165"/>
      <c r="N207" s="165"/>
      <c r="O207" s="165"/>
      <c r="P207" s="165"/>
      <c r="Q207" s="175"/>
    </row>
    <row r="208" spans="10:17">
      <c r="J208" s="165"/>
      <c r="L208" s="165"/>
      <c r="M208" s="165"/>
      <c r="N208" s="165"/>
      <c r="O208" s="165"/>
      <c r="P208" s="165"/>
      <c r="Q208" s="175"/>
    </row>
    <row r="209" spans="10:17">
      <c r="J209" s="165"/>
      <c r="L209" s="165"/>
      <c r="M209" s="165"/>
      <c r="N209" s="165"/>
      <c r="O209" s="165"/>
      <c r="P209" s="165"/>
      <c r="Q209" s="175"/>
    </row>
    <row r="210" spans="10:17">
      <c r="J210" s="165"/>
      <c r="L210" s="165"/>
      <c r="M210" s="165"/>
      <c r="N210" s="165"/>
      <c r="O210" s="165"/>
      <c r="P210" s="165"/>
      <c r="Q210" s="175"/>
    </row>
    <row r="211" spans="10:17">
      <c r="J211" s="165"/>
      <c r="L211" s="165"/>
      <c r="M211" s="165"/>
      <c r="N211" s="165"/>
      <c r="O211" s="165"/>
      <c r="P211" s="165"/>
      <c r="Q211" s="175"/>
    </row>
    <row r="212" spans="10:17">
      <c r="J212" s="165"/>
      <c r="L212" s="165"/>
      <c r="M212" s="165"/>
      <c r="N212" s="165"/>
      <c r="O212" s="165"/>
      <c r="P212" s="165"/>
      <c r="Q212" s="175"/>
    </row>
    <row r="213" spans="10:17">
      <c r="J213" s="165"/>
      <c r="L213" s="165"/>
      <c r="M213" s="165"/>
      <c r="N213" s="165"/>
      <c r="O213" s="165"/>
      <c r="P213" s="165"/>
      <c r="Q213" s="175"/>
    </row>
    <row r="214" spans="10:17">
      <c r="J214" s="165"/>
      <c r="L214" s="165"/>
      <c r="M214" s="165"/>
      <c r="N214" s="165"/>
      <c r="O214" s="165"/>
      <c r="P214" s="165"/>
      <c r="Q214" s="175"/>
    </row>
    <row r="215" spans="10:17">
      <c r="J215" s="165"/>
      <c r="L215" s="165"/>
      <c r="M215" s="165"/>
      <c r="N215" s="165"/>
      <c r="O215" s="165"/>
      <c r="P215" s="165"/>
      <c r="Q215" s="175"/>
    </row>
    <row r="216" spans="10:17">
      <c r="J216" s="165"/>
      <c r="L216" s="165"/>
      <c r="M216" s="165"/>
      <c r="N216" s="165"/>
      <c r="O216" s="165"/>
      <c r="P216" s="165"/>
      <c r="Q216" s="175"/>
    </row>
    <row r="217" spans="10:17">
      <c r="J217" s="165"/>
      <c r="L217" s="165"/>
      <c r="M217" s="165"/>
      <c r="N217" s="165"/>
      <c r="O217" s="165"/>
      <c r="P217" s="165"/>
      <c r="Q217" s="175"/>
    </row>
    <row r="218" spans="10:17">
      <c r="J218" s="165"/>
      <c r="L218" s="165"/>
      <c r="M218" s="165"/>
      <c r="N218" s="165"/>
      <c r="O218" s="165"/>
      <c r="P218" s="165"/>
      <c r="Q218" s="175"/>
    </row>
    <row r="219" spans="10:17">
      <c r="J219" s="165"/>
      <c r="L219" s="165"/>
      <c r="M219" s="165"/>
      <c r="N219" s="165"/>
      <c r="O219" s="165"/>
      <c r="P219" s="165"/>
      <c r="Q219" s="175"/>
    </row>
    <row r="220" spans="10:17">
      <c r="J220" s="165"/>
      <c r="L220" s="165"/>
      <c r="M220" s="165"/>
      <c r="N220" s="165"/>
      <c r="O220" s="165"/>
      <c r="P220" s="165"/>
      <c r="Q220" s="175"/>
    </row>
    <row r="221" spans="10:17">
      <c r="J221" s="165"/>
      <c r="L221" s="165"/>
      <c r="M221" s="165"/>
      <c r="N221" s="165"/>
      <c r="O221" s="165"/>
      <c r="P221" s="165"/>
      <c r="Q221" s="175"/>
    </row>
    <row r="222" spans="10:17">
      <c r="J222" s="165"/>
      <c r="L222" s="165"/>
      <c r="M222" s="165"/>
      <c r="N222" s="165"/>
      <c r="O222" s="165"/>
      <c r="P222" s="165"/>
      <c r="Q222" s="175"/>
    </row>
    <row r="223" spans="10:17">
      <c r="J223" s="165"/>
      <c r="L223" s="165"/>
      <c r="M223" s="165"/>
      <c r="N223" s="165"/>
      <c r="O223" s="165"/>
      <c r="P223" s="165"/>
      <c r="Q223" s="175"/>
    </row>
    <row r="224" spans="10:17">
      <c r="J224" s="165"/>
      <c r="L224" s="165"/>
      <c r="M224" s="165"/>
      <c r="N224" s="165"/>
      <c r="O224" s="165"/>
      <c r="P224" s="165"/>
      <c r="Q224" s="175"/>
    </row>
    <row r="225" spans="10:17">
      <c r="J225" s="165"/>
      <c r="L225" s="165"/>
      <c r="M225" s="165"/>
      <c r="N225" s="165"/>
      <c r="O225" s="165"/>
      <c r="P225" s="165"/>
      <c r="Q225" s="175"/>
    </row>
    <row r="226" spans="10:17">
      <c r="J226" s="165"/>
      <c r="L226" s="165"/>
      <c r="M226" s="165"/>
      <c r="N226" s="165"/>
      <c r="O226" s="165"/>
      <c r="P226" s="165"/>
      <c r="Q226" s="175"/>
    </row>
    <row r="227" spans="10:17">
      <c r="J227" s="165"/>
      <c r="L227" s="165"/>
      <c r="M227" s="165"/>
      <c r="N227" s="165"/>
      <c r="O227" s="165"/>
      <c r="P227" s="165"/>
      <c r="Q227" s="175"/>
    </row>
    <row r="228" spans="10:17">
      <c r="J228" s="165"/>
      <c r="L228" s="165"/>
      <c r="M228" s="165"/>
      <c r="N228" s="165"/>
      <c r="O228" s="165"/>
      <c r="P228" s="165"/>
      <c r="Q228" s="175"/>
    </row>
    <row r="229" spans="10:17">
      <c r="J229" s="165"/>
      <c r="L229" s="165"/>
      <c r="M229" s="165"/>
      <c r="N229" s="165"/>
      <c r="O229" s="165"/>
      <c r="P229" s="165"/>
      <c r="Q229" s="175"/>
    </row>
    <row r="230" spans="10:17">
      <c r="J230" s="165"/>
      <c r="L230" s="165"/>
      <c r="M230" s="165"/>
      <c r="N230" s="165"/>
      <c r="O230" s="165"/>
      <c r="P230" s="165"/>
      <c r="Q230" s="175"/>
    </row>
    <row r="231" spans="10:17">
      <c r="J231" s="165"/>
      <c r="L231" s="165"/>
      <c r="M231" s="165"/>
      <c r="N231" s="165"/>
      <c r="O231" s="165"/>
      <c r="P231" s="165"/>
      <c r="Q231" s="175"/>
    </row>
    <row r="232" spans="10:17">
      <c r="J232" s="165"/>
      <c r="L232" s="165"/>
      <c r="M232" s="165"/>
      <c r="N232" s="165"/>
      <c r="O232" s="165"/>
      <c r="P232" s="165"/>
      <c r="Q232" s="175"/>
    </row>
    <row r="233" spans="10:17">
      <c r="J233" s="165"/>
      <c r="L233" s="165"/>
      <c r="M233" s="165"/>
      <c r="N233" s="165"/>
      <c r="O233" s="165"/>
      <c r="P233" s="165"/>
      <c r="Q233" s="175"/>
    </row>
    <row r="234" spans="10:17">
      <c r="J234" s="165"/>
      <c r="L234" s="165"/>
      <c r="M234" s="165"/>
      <c r="N234" s="165"/>
      <c r="O234" s="165"/>
      <c r="P234" s="165"/>
      <c r="Q234" s="175"/>
    </row>
    <row r="235" spans="10:17">
      <c r="J235" s="165"/>
      <c r="L235" s="165"/>
      <c r="M235" s="165"/>
      <c r="N235" s="165"/>
      <c r="O235" s="165"/>
      <c r="P235" s="165"/>
      <c r="Q235" s="175"/>
    </row>
    <row r="236" spans="10:17">
      <c r="J236" s="165"/>
      <c r="L236" s="165"/>
      <c r="M236" s="165"/>
      <c r="N236" s="165"/>
      <c r="O236" s="165"/>
      <c r="P236" s="165"/>
      <c r="Q236" s="175"/>
    </row>
    <row r="237" spans="10:17">
      <c r="J237" s="165"/>
      <c r="L237" s="165"/>
      <c r="M237" s="165"/>
      <c r="N237" s="165"/>
      <c r="O237" s="165"/>
      <c r="P237" s="165"/>
      <c r="Q237" s="175"/>
    </row>
    <row r="238" spans="10:17">
      <c r="J238" s="165"/>
      <c r="L238" s="165"/>
      <c r="M238" s="165"/>
      <c r="N238" s="165"/>
      <c r="O238" s="165"/>
      <c r="P238" s="165"/>
      <c r="Q238" s="175"/>
    </row>
    <row r="239" spans="10:17">
      <c r="J239" s="165"/>
      <c r="L239" s="165"/>
      <c r="M239" s="165"/>
      <c r="N239" s="165"/>
      <c r="O239" s="165"/>
      <c r="P239" s="165"/>
      <c r="Q239" s="175"/>
    </row>
    <row r="240" spans="10:17">
      <c r="J240" s="165"/>
      <c r="L240" s="165"/>
      <c r="M240" s="165"/>
      <c r="N240" s="165"/>
      <c r="O240" s="165"/>
      <c r="P240" s="165"/>
      <c r="Q240" s="175"/>
    </row>
    <row r="241" spans="10:17">
      <c r="J241" s="165"/>
      <c r="L241" s="165"/>
      <c r="M241" s="165"/>
      <c r="N241" s="165"/>
      <c r="O241" s="165"/>
      <c r="P241" s="165"/>
      <c r="Q241" s="175"/>
    </row>
    <row r="242" spans="10:17">
      <c r="J242" s="165"/>
      <c r="L242" s="165"/>
      <c r="M242" s="165"/>
      <c r="N242" s="165"/>
      <c r="O242" s="165"/>
      <c r="P242" s="165"/>
      <c r="Q242" s="175"/>
    </row>
    <row r="243" spans="10:17">
      <c r="J243" s="165"/>
      <c r="L243" s="165"/>
      <c r="M243" s="165"/>
      <c r="N243" s="165"/>
      <c r="O243" s="165"/>
      <c r="P243" s="165"/>
      <c r="Q243" s="175"/>
    </row>
    <row r="244" spans="10:17">
      <c r="J244" s="165"/>
      <c r="L244" s="165"/>
      <c r="M244" s="165"/>
      <c r="N244" s="165"/>
      <c r="O244" s="165"/>
      <c r="P244" s="165"/>
      <c r="Q244" s="175"/>
    </row>
    <row r="245" spans="10:17">
      <c r="J245" s="165"/>
      <c r="L245" s="165"/>
      <c r="M245" s="165"/>
      <c r="N245" s="165"/>
      <c r="O245" s="165"/>
      <c r="P245" s="165"/>
      <c r="Q245" s="175"/>
    </row>
    <row r="246" spans="10:17">
      <c r="J246" s="165"/>
      <c r="L246" s="165"/>
      <c r="M246" s="165"/>
      <c r="N246" s="165"/>
      <c r="O246" s="165"/>
      <c r="P246" s="165"/>
      <c r="Q246" s="175"/>
    </row>
    <row r="247" spans="10:17">
      <c r="J247" s="165"/>
      <c r="L247" s="165"/>
      <c r="M247" s="165"/>
      <c r="N247" s="165"/>
      <c r="O247" s="165"/>
      <c r="P247" s="165"/>
      <c r="Q247" s="175"/>
    </row>
    <row r="248" spans="10:17">
      <c r="J248" s="165"/>
      <c r="L248" s="165"/>
      <c r="M248" s="165"/>
      <c r="N248" s="165"/>
      <c r="O248" s="165"/>
      <c r="P248" s="165"/>
      <c r="Q248" s="175"/>
    </row>
    <row r="249" spans="10:17">
      <c r="J249" s="165"/>
      <c r="L249" s="165"/>
      <c r="M249" s="165"/>
      <c r="N249" s="165"/>
      <c r="O249" s="165"/>
      <c r="P249" s="165"/>
      <c r="Q249" s="175"/>
    </row>
    <row r="250" spans="10:17">
      <c r="J250" s="165"/>
      <c r="L250" s="165"/>
      <c r="M250" s="165"/>
      <c r="N250" s="165"/>
      <c r="O250" s="165"/>
      <c r="P250" s="165"/>
      <c r="Q250" s="175"/>
    </row>
    <row r="251" spans="10:17">
      <c r="J251" s="165"/>
      <c r="L251" s="165"/>
      <c r="M251" s="165"/>
      <c r="N251" s="165"/>
      <c r="O251" s="165"/>
      <c r="P251" s="165"/>
      <c r="Q251" s="175"/>
    </row>
    <row r="252" spans="10:17">
      <c r="J252" s="165"/>
      <c r="L252" s="165"/>
      <c r="M252" s="165"/>
      <c r="N252" s="165"/>
      <c r="O252" s="165"/>
      <c r="P252" s="165"/>
      <c r="Q252" s="175"/>
    </row>
    <row r="253" spans="10:17">
      <c r="J253" s="165"/>
      <c r="L253" s="165"/>
      <c r="M253" s="165"/>
      <c r="N253" s="165"/>
      <c r="O253" s="165"/>
      <c r="P253" s="165"/>
      <c r="Q253" s="175"/>
    </row>
    <row r="254" spans="10:17">
      <c r="J254" s="165"/>
      <c r="L254" s="165"/>
      <c r="M254" s="165"/>
      <c r="N254" s="165"/>
      <c r="O254" s="165"/>
      <c r="P254" s="165"/>
      <c r="Q254" s="175"/>
    </row>
    <row r="255" spans="10:17">
      <c r="J255" s="165"/>
      <c r="L255" s="165"/>
      <c r="M255" s="165"/>
      <c r="N255" s="165"/>
      <c r="O255" s="165"/>
      <c r="P255" s="165"/>
      <c r="Q255" s="175"/>
    </row>
    <row r="256" spans="10:17">
      <c r="J256" s="165"/>
      <c r="L256" s="165"/>
      <c r="M256" s="165"/>
      <c r="N256" s="165"/>
      <c r="O256" s="165"/>
      <c r="P256" s="165"/>
      <c r="Q256" s="175"/>
    </row>
    <row r="257" spans="10:17">
      <c r="J257" s="165"/>
      <c r="L257" s="165"/>
      <c r="M257" s="165"/>
      <c r="N257" s="165"/>
      <c r="O257" s="165"/>
      <c r="P257" s="165"/>
      <c r="Q257" s="175"/>
    </row>
    <row r="258" spans="10:17">
      <c r="J258" s="165"/>
      <c r="L258" s="165"/>
      <c r="M258" s="165"/>
      <c r="N258" s="165"/>
      <c r="O258" s="165"/>
      <c r="P258" s="165"/>
      <c r="Q258" s="175"/>
    </row>
    <row r="259" spans="10:17">
      <c r="J259" s="165"/>
      <c r="L259" s="165"/>
      <c r="M259" s="165"/>
      <c r="N259" s="165"/>
      <c r="O259" s="165"/>
      <c r="P259" s="165"/>
      <c r="Q259" s="175"/>
    </row>
    <row r="260" spans="10:17">
      <c r="J260" s="165"/>
      <c r="L260" s="165"/>
      <c r="M260" s="165"/>
      <c r="N260" s="165"/>
      <c r="O260" s="165"/>
      <c r="P260" s="165"/>
      <c r="Q260" s="175"/>
    </row>
    <row r="261" spans="10:17">
      <c r="J261" s="165"/>
      <c r="L261" s="165"/>
      <c r="M261" s="165"/>
      <c r="N261" s="165"/>
      <c r="O261" s="165"/>
      <c r="P261" s="165"/>
      <c r="Q261" s="175"/>
    </row>
    <row r="262" spans="10:17">
      <c r="J262" s="165"/>
      <c r="L262" s="165"/>
      <c r="M262" s="165"/>
      <c r="N262" s="165"/>
      <c r="O262" s="165"/>
      <c r="P262" s="165"/>
      <c r="Q262" s="175"/>
    </row>
    <row r="263" spans="10:17">
      <c r="J263" s="165"/>
      <c r="L263" s="165"/>
      <c r="M263" s="165"/>
      <c r="N263" s="165"/>
      <c r="O263" s="165"/>
      <c r="P263" s="165"/>
      <c r="Q263" s="175"/>
    </row>
    <row r="264" spans="10:17">
      <c r="J264" s="165"/>
      <c r="L264" s="165"/>
      <c r="M264" s="165"/>
      <c r="N264" s="165"/>
      <c r="O264" s="165"/>
      <c r="P264" s="165"/>
      <c r="Q264" s="175"/>
    </row>
    <row r="265" spans="10:17">
      <c r="J265" s="165"/>
      <c r="L265" s="165"/>
      <c r="M265" s="165"/>
      <c r="N265" s="165"/>
      <c r="O265" s="165"/>
      <c r="P265" s="165"/>
      <c r="Q265" s="175"/>
    </row>
    <row r="266" spans="10:17">
      <c r="J266" s="165"/>
      <c r="L266" s="165"/>
      <c r="M266" s="165"/>
      <c r="N266" s="165"/>
      <c r="O266" s="165"/>
      <c r="P266" s="165"/>
      <c r="Q266" s="175"/>
    </row>
    <row r="267" spans="10:17">
      <c r="J267" s="165"/>
      <c r="L267" s="165"/>
      <c r="M267" s="165"/>
      <c r="N267" s="165"/>
      <c r="O267" s="165"/>
      <c r="P267" s="165"/>
      <c r="Q267" s="175"/>
    </row>
    <row r="268" spans="10:17">
      <c r="J268" s="165"/>
      <c r="L268" s="165"/>
      <c r="M268" s="165"/>
      <c r="N268" s="165"/>
      <c r="O268" s="165"/>
      <c r="P268" s="165"/>
      <c r="Q268" s="175"/>
    </row>
    <row r="269" spans="10:17">
      <c r="J269" s="165"/>
      <c r="L269" s="165"/>
      <c r="M269" s="165"/>
      <c r="N269" s="165"/>
      <c r="O269" s="165"/>
      <c r="P269" s="165"/>
      <c r="Q269" s="175"/>
    </row>
    <row r="270" spans="10:17">
      <c r="J270" s="165"/>
      <c r="L270" s="165"/>
      <c r="M270" s="165"/>
      <c r="N270" s="165"/>
      <c r="O270" s="165"/>
      <c r="P270" s="165"/>
      <c r="Q270" s="175"/>
    </row>
    <row r="271" spans="10:17">
      <c r="J271" s="165"/>
      <c r="L271" s="165"/>
      <c r="M271" s="165"/>
      <c r="N271" s="165"/>
      <c r="O271" s="165"/>
      <c r="P271" s="165"/>
      <c r="Q271" s="175"/>
    </row>
    <row r="272" spans="10:17">
      <c r="J272" s="165"/>
      <c r="L272" s="165"/>
      <c r="M272" s="165"/>
      <c r="N272" s="165"/>
      <c r="O272" s="165"/>
      <c r="P272" s="165"/>
      <c r="Q272" s="175"/>
    </row>
    <row r="273" spans="10:20">
      <c r="J273" s="165"/>
      <c r="L273" s="165"/>
      <c r="M273" s="165"/>
      <c r="N273" s="165"/>
      <c r="O273" s="165"/>
      <c r="P273" s="165"/>
      <c r="Q273" s="175"/>
    </row>
    <row r="274" spans="10:20">
      <c r="J274" s="165"/>
      <c r="M274" s="165"/>
      <c r="N274" s="1251"/>
      <c r="O274" s="1251"/>
      <c r="P274" s="165"/>
      <c r="Q274" s="175"/>
    </row>
    <row r="275" spans="10:20">
      <c r="J275" s="165"/>
      <c r="M275" s="165"/>
      <c r="N275" s="1251"/>
      <c r="O275" s="1251"/>
      <c r="P275" s="165"/>
      <c r="Q275" s="175"/>
    </row>
    <row r="276" spans="10:20">
      <c r="J276" s="165"/>
      <c r="K276" s="1252"/>
      <c r="L276" s="1252"/>
      <c r="M276" s="165"/>
      <c r="N276" s="165"/>
      <c r="O276" s="165"/>
      <c r="P276" s="165"/>
      <c r="Q276" s="175"/>
    </row>
    <row r="277" spans="10:20">
      <c r="J277" s="165"/>
      <c r="K277" s="1252"/>
      <c r="L277" s="1252"/>
      <c r="M277" s="165"/>
      <c r="N277" s="165"/>
      <c r="O277" s="165"/>
      <c r="P277" s="165"/>
      <c r="Q277" s="175"/>
    </row>
    <row r="278" spans="10:20" ht="15">
      <c r="J278" s="165"/>
      <c r="K278" s="1252"/>
      <c r="L278" s="1252"/>
      <c r="M278" s="165"/>
      <c r="N278" s="165"/>
      <c r="O278" s="165"/>
      <c r="P278" s="165"/>
      <c r="Q278" s="236"/>
    </row>
    <row r="279" spans="10:20">
      <c r="J279" s="165"/>
      <c r="M279" s="165"/>
      <c r="N279" s="165"/>
      <c r="O279" s="165"/>
      <c r="P279" s="165"/>
      <c r="Q279" s="175"/>
      <c r="S279" s="149"/>
      <c r="T279" s="149"/>
    </row>
    <row r="280" spans="10:20" ht="15">
      <c r="J280" s="165"/>
      <c r="M280" s="165"/>
      <c r="N280" s="165"/>
      <c r="O280" s="165"/>
      <c r="P280" s="165"/>
      <c r="Q280" s="237"/>
    </row>
    <row r="281" spans="10:20">
      <c r="J281" s="165"/>
      <c r="M281" s="165"/>
      <c r="N281" s="165"/>
      <c r="O281" s="165"/>
      <c r="P281" s="165"/>
    </row>
    <row r="282" spans="10:20">
      <c r="J282" s="165"/>
      <c r="M282" s="165"/>
      <c r="N282" s="165"/>
      <c r="O282" s="165"/>
      <c r="P282" s="165"/>
    </row>
    <row r="283" spans="10:20" ht="15">
      <c r="J283" s="165"/>
      <c r="K283" s="1253"/>
      <c r="L283" s="1253"/>
      <c r="M283" s="165"/>
      <c r="N283" s="165"/>
      <c r="O283" s="165"/>
      <c r="P283" s="165"/>
    </row>
    <row r="284" spans="10:20">
      <c r="J284" s="165"/>
      <c r="K284" s="1252"/>
      <c r="L284" s="1252"/>
      <c r="M284" s="165"/>
      <c r="N284" s="165"/>
      <c r="O284" s="165"/>
      <c r="P284" s="165"/>
      <c r="Q284" s="173"/>
    </row>
    <row r="285" spans="10:20">
      <c r="J285" s="165"/>
      <c r="K285" s="1252"/>
      <c r="L285" s="1252"/>
      <c r="M285" s="165"/>
      <c r="N285" s="165"/>
      <c r="O285" s="165"/>
      <c r="P285" s="165"/>
      <c r="Q285" s="173"/>
    </row>
    <row r="286" spans="10:20" ht="15">
      <c r="J286" s="165"/>
      <c r="K286" s="1252"/>
      <c r="L286" s="1252"/>
      <c r="M286" s="165"/>
      <c r="N286" s="165"/>
      <c r="O286" s="165"/>
      <c r="P286" s="165"/>
      <c r="Q286" s="238"/>
    </row>
    <row r="287" spans="10:20">
      <c r="J287" s="165"/>
      <c r="M287" s="165"/>
      <c r="N287" s="165"/>
      <c r="O287" s="165"/>
      <c r="P287" s="165"/>
      <c r="Q287" s="173"/>
      <c r="S287" s="149"/>
      <c r="T287" s="149"/>
    </row>
    <row r="288" spans="10:20" ht="15">
      <c r="J288" s="165"/>
      <c r="M288" s="165"/>
      <c r="N288" s="165"/>
      <c r="O288" s="165"/>
      <c r="P288" s="165"/>
      <c r="Q288" s="239"/>
    </row>
    <row r="289" spans="10:16">
      <c r="J289" s="165"/>
      <c r="M289" s="165"/>
      <c r="N289" s="165"/>
      <c r="O289" s="165"/>
      <c r="P289" s="165"/>
    </row>
    <row r="290" spans="10:16">
      <c r="J290" s="165"/>
      <c r="M290" s="165"/>
      <c r="N290" s="165"/>
      <c r="O290" s="165"/>
      <c r="P290" s="165"/>
    </row>
    <row r="291" spans="10:16">
      <c r="J291" s="165"/>
      <c r="M291" s="165"/>
      <c r="N291" s="165"/>
      <c r="O291" s="165"/>
      <c r="P291" s="165"/>
    </row>
    <row r="292" spans="10:16">
      <c r="J292" s="165"/>
      <c r="M292" s="165"/>
      <c r="N292" s="165"/>
      <c r="O292" s="165"/>
      <c r="P292" s="165"/>
    </row>
    <row r="293" spans="10:16">
      <c r="J293" s="165"/>
      <c r="M293" s="165"/>
      <c r="N293" s="165"/>
      <c r="O293" s="165"/>
      <c r="P293" s="165"/>
    </row>
    <row r="294" spans="10:16">
      <c r="J294" s="165"/>
      <c r="M294" s="165"/>
      <c r="N294" s="165"/>
      <c r="O294" s="165"/>
      <c r="P294" s="165"/>
    </row>
    <row r="295" spans="10:16">
      <c r="J295" s="165"/>
      <c r="M295" s="165"/>
      <c r="N295" s="165"/>
      <c r="O295" s="165"/>
      <c r="P295" s="165"/>
    </row>
    <row r="296" spans="10:16">
      <c r="J296" s="165"/>
      <c r="M296" s="165"/>
      <c r="N296" s="165"/>
      <c r="O296" s="165"/>
      <c r="P296" s="165"/>
    </row>
    <row r="297" spans="10:16">
      <c r="J297" s="165"/>
      <c r="M297" s="165"/>
      <c r="N297" s="165"/>
      <c r="O297" s="165"/>
      <c r="P297" s="165"/>
    </row>
    <row r="298" spans="10:16">
      <c r="J298" s="165"/>
      <c r="M298" s="165"/>
      <c r="N298" s="165"/>
      <c r="O298" s="165"/>
      <c r="P298" s="165"/>
    </row>
    <row r="299" spans="10:16">
      <c r="J299" s="165"/>
      <c r="M299" s="165"/>
      <c r="N299" s="165"/>
      <c r="O299" s="165"/>
      <c r="P299" s="165"/>
    </row>
    <row r="300" spans="10:16">
      <c r="J300" s="165"/>
      <c r="M300" s="165"/>
      <c r="N300" s="165"/>
      <c r="O300" s="165"/>
      <c r="P300" s="165"/>
    </row>
    <row r="301" spans="10:16">
      <c r="J301" s="165"/>
      <c r="M301" s="165"/>
      <c r="N301" s="165"/>
      <c r="O301" s="165"/>
      <c r="P301" s="165"/>
    </row>
    <row r="302" spans="10:16">
      <c r="J302" s="165"/>
      <c r="M302" s="165"/>
      <c r="N302" s="165"/>
      <c r="O302" s="165"/>
      <c r="P302" s="165"/>
    </row>
    <row r="303" spans="10:16">
      <c r="J303" s="165"/>
      <c r="M303" s="165"/>
      <c r="N303" s="165"/>
      <c r="O303" s="165"/>
      <c r="P303" s="165"/>
    </row>
    <row r="304" spans="10:16">
      <c r="J304" s="165"/>
      <c r="M304" s="165"/>
      <c r="N304" s="165"/>
      <c r="O304" s="165"/>
      <c r="P304" s="165"/>
    </row>
    <row r="305" spans="10:16">
      <c r="J305" s="165"/>
      <c r="M305" s="165"/>
      <c r="N305" s="165"/>
      <c r="O305" s="165"/>
      <c r="P305" s="165"/>
    </row>
    <row r="306" spans="10:16">
      <c r="J306" s="165"/>
      <c r="M306" s="165"/>
      <c r="N306" s="165"/>
      <c r="O306" s="165"/>
      <c r="P306" s="165"/>
    </row>
    <row r="307" spans="10:16">
      <c r="J307" s="165"/>
      <c r="M307" s="165"/>
      <c r="N307" s="165"/>
      <c r="O307" s="165"/>
      <c r="P307" s="165"/>
    </row>
    <row r="308" spans="10:16">
      <c r="J308" s="165"/>
      <c r="M308" s="165"/>
      <c r="N308" s="165"/>
      <c r="O308" s="165"/>
      <c r="P308" s="165"/>
    </row>
    <row r="309" spans="10:16">
      <c r="J309" s="165"/>
      <c r="M309" s="165"/>
      <c r="N309" s="165"/>
      <c r="O309" s="165"/>
      <c r="P309" s="165"/>
    </row>
    <row r="310" spans="10:16">
      <c r="J310" s="165"/>
      <c r="M310" s="165"/>
      <c r="N310" s="165"/>
      <c r="O310" s="165"/>
      <c r="P310" s="165"/>
    </row>
    <row r="311" spans="10:16">
      <c r="J311" s="165"/>
      <c r="M311" s="165"/>
      <c r="N311" s="165"/>
      <c r="O311" s="165"/>
      <c r="P311" s="165"/>
    </row>
    <row r="312" spans="10:16">
      <c r="J312" s="165"/>
      <c r="M312" s="165"/>
      <c r="N312" s="165"/>
      <c r="O312" s="165"/>
      <c r="P312" s="165"/>
    </row>
    <row r="313" spans="10:16">
      <c r="J313" s="165"/>
      <c r="M313" s="165"/>
      <c r="N313" s="165"/>
      <c r="O313" s="165"/>
      <c r="P313" s="165"/>
    </row>
    <row r="314" spans="10:16">
      <c r="J314" s="165"/>
      <c r="M314" s="165"/>
      <c r="N314" s="165"/>
      <c r="O314" s="165"/>
      <c r="P314" s="165"/>
    </row>
    <row r="315" spans="10:16">
      <c r="J315" s="165"/>
      <c r="M315" s="165"/>
      <c r="N315" s="165"/>
      <c r="O315" s="165"/>
      <c r="P315" s="165"/>
    </row>
    <row r="316" spans="10:16">
      <c r="J316" s="165"/>
      <c r="M316" s="165"/>
      <c r="N316" s="165"/>
      <c r="O316" s="165"/>
      <c r="P316" s="165"/>
    </row>
    <row r="317" spans="10:16">
      <c r="J317" s="165"/>
      <c r="M317" s="165"/>
      <c r="N317" s="165"/>
      <c r="O317" s="165"/>
      <c r="P317" s="165"/>
    </row>
    <row r="318" spans="10:16">
      <c r="J318" s="165"/>
      <c r="M318" s="165"/>
      <c r="N318" s="165"/>
      <c r="O318" s="165"/>
      <c r="P318" s="165"/>
    </row>
    <row r="319" spans="10:16">
      <c r="J319" s="165"/>
      <c r="M319" s="165"/>
      <c r="N319" s="165"/>
      <c r="O319" s="165"/>
      <c r="P319" s="165"/>
    </row>
    <row r="320" spans="10:16">
      <c r="J320" s="165"/>
      <c r="M320" s="165"/>
      <c r="N320" s="165"/>
      <c r="O320" s="165"/>
      <c r="P320" s="165"/>
    </row>
    <row r="321" spans="10:16">
      <c r="J321" s="165"/>
      <c r="M321" s="165"/>
      <c r="N321" s="165"/>
      <c r="O321" s="165"/>
      <c r="P321" s="165"/>
    </row>
    <row r="322" spans="10:16">
      <c r="J322" s="165"/>
      <c r="M322" s="165"/>
      <c r="N322" s="165"/>
      <c r="O322" s="165"/>
      <c r="P322" s="165"/>
    </row>
    <row r="323" spans="10:16">
      <c r="J323" s="165"/>
      <c r="M323" s="165"/>
      <c r="N323" s="165"/>
      <c r="O323" s="165"/>
      <c r="P323" s="165"/>
    </row>
    <row r="324" spans="10:16">
      <c r="J324" s="165"/>
      <c r="M324" s="165"/>
      <c r="N324" s="165"/>
      <c r="O324" s="165"/>
      <c r="P324" s="165"/>
    </row>
    <row r="325" spans="10:16">
      <c r="J325" s="165"/>
      <c r="M325" s="165"/>
      <c r="N325" s="165"/>
      <c r="O325" s="165"/>
      <c r="P325" s="165"/>
    </row>
    <row r="326" spans="10:16">
      <c r="J326" s="165"/>
      <c r="M326" s="165"/>
      <c r="N326" s="165"/>
      <c r="O326" s="165"/>
      <c r="P326" s="165"/>
    </row>
    <row r="327" spans="10:16">
      <c r="J327" s="165"/>
      <c r="M327" s="165"/>
      <c r="N327" s="165"/>
      <c r="O327" s="165"/>
      <c r="P327" s="165"/>
    </row>
    <row r="328" spans="10:16">
      <c r="J328" s="165"/>
      <c r="M328" s="165"/>
      <c r="N328" s="165"/>
      <c r="O328" s="165"/>
      <c r="P328" s="165"/>
    </row>
    <row r="329" spans="10:16">
      <c r="J329" s="165"/>
      <c r="M329" s="165"/>
      <c r="N329" s="165"/>
      <c r="O329" s="165"/>
      <c r="P329" s="165"/>
    </row>
    <row r="330" spans="10:16">
      <c r="J330" s="165"/>
      <c r="M330" s="165"/>
      <c r="N330" s="165"/>
      <c r="O330" s="165"/>
      <c r="P330" s="165"/>
    </row>
    <row r="331" spans="10:16">
      <c r="J331" s="165"/>
      <c r="M331" s="165"/>
      <c r="N331" s="165"/>
      <c r="O331" s="165"/>
      <c r="P331" s="165"/>
    </row>
    <row r="332" spans="10:16">
      <c r="J332" s="165"/>
      <c r="M332" s="165"/>
      <c r="N332" s="165"/>
      <c r="O332" s="165"/>
      <c r="P332" s="165"/>
    </row>
    <row r="333" spans="10:16">
      <c r="J333" s="165"/>
      <c r="M333" s="165"/>
      <c r="N333" s="165"/>
      <c r="O333" s="165"/>
      <c r="P333" s="165"/>
    </row>
    <row r="334" spans="10:16">
      <c r="J334" s="165"/>
      <c r="M334" s="165"/>
      <c r="N334" s="165"/>
      <c r="O334" s="165"/>
      <c r="P334" s="165"/>
    </row>
    <row r="335" spans="10:16">
      <c r="J335" s="165"/>
      <c r="M335" s="165"/>
      <c r="N335" s="165"/>
      <c r="O335" s="165"/>
      <c r="P335" s="165"/>
    </row>
    <row r="336" spans="10:16">
      <c r="J336" s="165"/>
      <c r="M336" s="165"/>
      <c r="N336" s="165"/>
      <c r="O336" s="165"/>
      <c r="P336" s="165"/>
    </row>
    <row r="337" spans="10:16">
      <c r="J337" s="165"/>
      <c r="M337" s="165"/>
      <c r="N337" s="165"/>
      <c r="O337" s="165"/>
      <c r="P337" s="165"/>
    </row>
    <row r="338" spans="10:16">
      <c r="J338" s="165"/>
      <c r="M338" s="165"/>
      <c r="N338" s="165"/>
      <c r="O338" s="165"/>
      <c r="P338" s="165"/>
    </row>
    <row r="339" spans="10:16">
      <c r="J339" s="165"/>
      <c r="M339" s="165"/>
      <c r="N339" s="165"/>
      <c r="O339" s="165"/>
      <c r="P339" s="165"/>
    </row>
    <row r="340" spans="10:16">
      <c r="J340" s="165"/>
      <c r="M340" s="165"/>
      <c r="N340" s="165"/>
      <c r="O340" s="165"/>
      <c r="P340" s="165"/>
    </row>
    <row r="341" spans="10:16">
      <c r="J341" s="165"/>
      <c r="M341" s="165"/>
      <c r="N341" s="165"/>
      <c r="O341" s="165"/>
      <c r="P341" s="165"/>
    </row>
    <row r="342" spans="10:16">
      <c r="J342" s="165"/>
      <c r="M342" s="165"/>
      <c r="N342" s="165"/>
      <c r="O342" s="165"/>
      <c r="P342" s="165"/>
    </row>
    <row r="343" spans="10:16">
      <c r="J343" s="165"/>
      <c r="M343" s="165"/>
      <c r="N343" s="165"/>
      <c r="O343" s="165"/>
      <c r="P343" s="165"/>
    </row>
    <row r="344" spans="10:16">
      <c r="J344" s="165"/>
      <c r="M344" s="165"/>
      <c r="N344" s="165"/>
      <c r="O344" s="165"/>
      <c r="P344" s="165"/>
    </row>
    <row r="345" spans="10:16">
      <c r="J345" s="165"/>
      <c r="M345" s="165"/>
      <c r="N345" s="165"/>
      <c r="O345" s="165"/>
      <c r="P345" s="165"/>
    </row>
    <row r="346" spans="10:16">
      <c r="J346" s="165"/>
      <c r="M346" s="165"/>
      <c r="N346" s="165"/>
      <c r="O346" s="165"/>
      <c r="P346" s="165"/>
    </row>
    <row r="347" spans="10:16">
      <c r="J347" s="165"/>
      <c r="M347" s="165"/>
      <c r="N347" s="165"/>
      <c r="O347" s="165"/>
      <c r="P347" s="165"/>
    </row>
    <row r="348" spans="10:16">
      <c r="J348" s="165"/>
      <c r="M348" s="165"/>
      <c r="N348" s="165"/>
      <c r="O348" s="165"/>
      <c r="P348" s="165"/>
    </row>
    <row r="349" spans="10:16">
      <c r="J349" s="165"/>
      <c r="M349" s="165"/>
      <c r="N349" s="165"/>
      <c r="O349" s="165"/>
      <c r="P349" s="165"/>
    </row>
    <row r="350" spans="10:16">
      <c r="J350" s="165"/>
      <c r="M350" s="165"/>
      <c r="N350" s="165"/>
      <c r="O350" s="165"/>
      <c r="P350" s="165"/>
    </row>
    <row r="351" spans="10:16">
      <c r="J351" s="165"/>
      <c r="M351" s="165"/>
      <c r="N351" s="165"/>
      <c r="O351" s="165"/>
      <c r="P351" s="165"/>
    </row>
    <row r="352" spans="10:16">
      <c r="J352" s="165"/>
      <c r="M352" s="165"/>
      <c r="N352" s="165"/>
      <c r="O352" s="165"/>
      <c r="P352" s="165"/>
    </row>
    <row r="353" spans="10:16">
      <c r="J353" s="165"/>
      <c r="M353" s="165"/>
      <c r="N353" s="165"/>
      <c r="O353" s="165"/>
      <c r="P353" s="165"/>
    </row>
    <row r="354" spans="10:16">
      <c r="J354" s="165"/>
      <c r="M354" s="165"/>
      <c r="N354" s="165"/>
      <c r="O354" s="165"/>
      <c r="P354" s="165"/>
    </row>
    <row r="355" spans="10:16">
      <c r="J355" s="165"/>
      <c r="M355" s="165"/>
      <c r="N355" s="165"/>
      <c r="O355" s="165"/>
      <c r="P355" s="165"/>
    </row>
    <row r="356" spans="10:16">
      <c r="J356" s="165"/>
      <c r="M356" s="165"/>
      <c r="N356" s="165"/>
      <c r="O356" s="165"/>
      <c r="P356" s="165"/>
    </row>
    <row r="357" spans="10:16">
      <c r="J357" s="165"/>
      <c r="M357" s="165"/>
      <c r="N357" s="165"/>
      <c r="O357" s="165"/>
      <c r="P357" s="165"/>
    </row>
    <row r="358" spans="10:16">
      <c r="J358" s="165"/>
      <c r="M358" s="165"/>
      <c r="N358" s="165"/>
      <c r="O358" s="165"/>
      <c r="P358" s="165"/>
    </row>
    <row r="359" spans="10:16">
      <c r="J359" s="165"/>
      <c r="M359" s="165"/>
      <c r="N359" s="165"/>
      <c r="O359" s="165"/>
      <c r="P359" s="165"/>
    </row>
    <row r="360" spans="10:16">
      <c r="J360" s="165"/>
      <c r="M360" s="165"/>
      <c r="N360" s="165"/>
      <c r="O360" s="165"/>
      <c r="P360" s="165"/>
    </row>
    <row r="361" spans="10:16">
      <c r="J361" s="165"/>
      <c r="M361" s="165"/>
      <c r="N361" s="165"/>
      <c r="O361" s="165"/>
      <c r="P361" s="165"/>
    </row>
    <row r="362" spans="10:16">
      <c r="J362" s="165"/>
      <c r="M362" s="165"/>
      <c r="N362" s="165"/>
      <c r="O362" s="165"/>
      <c r="P362" s="165"/>
    </row>
    <row r="363" spans="10:16">
      <c r="J363" s="165"/>
      <c r="M363" s="165"/>
      <c r="N363" s="165"/>
      <c r="O363" s="165"/>
      <c r="P363" s="165"/>
    </row>
    <row r="364" spans="10:16">
      <c r="J364" s="165"/>
      <c r="M364" s="165"/>
      <c r="N364" s="165"/>
      <c r="O364" s="165"/>
      <c r="P364" s="165"/>
    </row>
    <row r="365" spans="10:16">
      <c r="J365" s="165"/>
      <c r="M365" s="165"/>
      <c r="N365" s="165"/>
      <c r="O365" s="165"/>
      <c r="P365" s="165"/>
    </row>
    <row r="366" spans="10:16">
      <c r="J366" s="165"/>
      <c r="M366" s="165"/>
      <c r="N366" s="165"/>
      <c r="O366" s="165"/>
      <c r="P366" s="165"/>
    </row>
    <row r="367" spans="10:16">
      <c r="J367" s="165"/>
      <c r="M367" s="165"/>
      <c r="N367" s="165"/>
      <c r="O367" s="165"/>
      <c r="P367" s="165"/>
    </row>
    <row r="368" spans="10:16">
      <c r="J368" s="165"/>
      <c r="M368" s="165"/>
      <c r="N368" s="165"/>
      <c r="O368" s="165"/>
      <c r="P368" s="165"/>
    </row>
    <row r="369" spans="10:16">
      <c r="J369" s="165"/>
      <c r="M369" s="165"/>
      <c r="N369" s="165"/>
      <c r="O369" s="165"/>
      <c r="P369" s="165"/>
    </row>
    <row r="370" spans="10:16">
      <c r="J370" s="165"/>
      <c r="M370" s="165"/>
      <c r="N370" s="165"/>
      <c r="O370" s="165"/>
      <c r="P370" s="165"/>
    </row>
    <row r="371" spans="10:16">
      <c r="J371" s="165"/>
      <c r="M371" s="165"/>
      <c r="N371" s="165"/>
      <c r="O371" s="165"/>
      <c r="P371" s="165"/>
    </row>
    <row r="372" spans="10:16">
      <c r="J372" s="165"/>
      <c r="M372" s="165"/>
      <c r="N372" s="165"/>
      <c r="O372" s="165"/>
      <c r="P372" s="165"/>
    </row>
    <row r="373" spans="10:16">
      <c r="J373" s="165"/>
      <c r="M373" s="165"/>
      <c r="N373" s="165"/>
      <c r="O373" s="165"/>
      <c r="P373" s="165"/>
    </row>
    <row r="374" spans="10:16">
      <c r="J374" s="165"/>
      <c r="M374" s="165"/>
      <c r="N374" s="165"/>
      <c r="O374" s="165"/>
      <c r="P374" s="165"/>
    </row>
    <row r="375" spans="10:16">
      <c r="J375" s="165"/>
      <c r="M375" s="165"/>
      <c r="N375" s="165"/>
      <c r="O375" s="165"/>
      <c r="P375" s="165"/>
    </row>
    <row r="376" spans="10:16">
      <c r="J376" s="165"/>
      <c r="M376" s="165"/>
      <c r="N376" s="165"/>
      <c r="O376" s="165"/>
      <c r="P376" s="165"/>
    </row>
    <row r="377" spans="10:16">
      <c r="J377" s="165"/>
      <c r="M377" s="165"/>
      <c r="N377" s="165"/>
      <c r="O377" s="165"/>
      <c r="P377" s="165"/>
    </row>
    <row r="378" spans="10:16">
      <c r="J378" s="165"/>
      <c r="M378" s="165"/>
      <c r="N378" s="165"/>
      <c r="O378" s="165"/>
      <c r="P378" s="165"/>
    </row>
    <row r="379" spans="10:16">
      <c r="J379" s="165"/>
      <c r="M379" s="165"/>
      <c r="N379" s="165"/>
      <c r="O379" s="165"/>
      <c r="P379" s="165"/>
    </row>
    <row r="380" spans="10:16">
      <c r="J380" s="165"/>
      <c r="M380" s="165"/>
      <c r="N380" s="165"/>
      <c r="O380" s="165"/>
      <c r="P380" s="165"/>
    </row>
    <row r="381" spans="10:16">
      <c r="J381" s="165"/>
      <c r="M381" s="165"/>
      <c r="N381" s="165"/>
      <c r="O381" s="165"/>
      <c r="P381" s="165"/>
    </row>
    <row r="382" spans="10:16">
      <c r="J382" s="165"/>
      <c r="M382" s="165"/>
      <c r="N382" s="165"/>
      <c r="O382" s="165"/>
      <c r="P382" s="165"/>
    </row>
    <row r="383" spans="10:16">
      <c r="J383" s="165"/>
      <c r="M383" s="165"/>
      <c r="N383" s="165"/>
      <c r="O383" s="165"/>
      <c r="P383" s="165"/>
    </row>
    <row r="384" spans="10:16">
      <c r="J384" s="165"/>
      <c r="M384" s="165"/>
      <c r="N384" s="165"/>
      <c r="O384" s="165"/>
      <c r="P384" s="165"/>
    </row>
    <row r="385" spans="10:16">
      <c r="J385" s="165"/>
      <c r="M385" s="165"/>
      <c r="N385" s="165"/>
      <c r="O385" s="165"/>
      <c r="P385" s="165"/>
    </row>
    <row r="386" spans="10:16">
      <c r="J386" s="165"/>
      <c r="M386" s="165"/>
      <c r="N386" s="165"/>
      <c r="O386" s="165"/>
      <c r="P386" s="165"/>
    </row>
    <row r="387" spans="10:16">
      <c r="J387" s="165"/>
      <c r="M387" s="165"/>
      <c r="N387" s="165"/>
      <c r="O387" s="165"/>
      <c r="P387" s="165"/>
    </row>
    <row r="388" spans="10:16">
      <c r="J388" s="165"/>
      <c r="M388" s="165"/>
      <c r="N388" s="165"/>
      <c r="O388" s="165"/>
      <c r="P388" s="165"/>
    </row>
    <row r="389" spans="10:16">
      <c r="J389" s="165"/>
      <c r="M389" s="165"/>
      <c r="N389" s="165"/>
      <c r="O389" s="165"/>
      <c r="P389" s="165"/>
    </row>
    <row r="390" spans="10:16">
      <c r="J390" s="165"/>
      <c r="M390" s="165"/>
      <c r="N390" s="165"/>
      <c r="O390" s="165"/>
      <c r="P390" s="165"/>
    </row>
    <row r="391" spans="10:16">
      <c r="J391" s="165"/>
      <c r="M391" s="165"/>
      <c r="N391" s="165"/>
      <c r="O391" s="165"/>
      <c r="P391" s="165"/>
    </row>
    <row r="392" spans="10:16">
      <c r="J392" s="165"/>
      <c r="M392" s="165"/>
      <c r="N392" s="165"/>
      <c r="O392" s="165"/>
      <c r="P392" s="165"/>
    </row>
    <row r="393" spans="10:16">
      <c r="J393" s="165"/>
      <c r="M393" s="165"/>
      <c r="N393" s="165"/>
      <c r="O393" s="165"/>
      <c r="P393" s="165"/>
    </row>
    <row r="394" spans="10:16">
      <c r="J394" s="165"/>
      <c r="M394" s="165"/>
      <c r="N394" s="165"/>
      <c r="O394" s="165"/>
      <c r="P394" s="165"/>
    </row>
    <row r="395" spans="10:16">
      <c r="J395" s="165"/>
      <c r="M395" s="165"/>
      <c r="N395" s="165"/>
      <c r="O395" s="165"/>
      <c r="P395" s="165"/>
    </row>
    <row r="396" spans="10:16">
      <c r="J396" s="165"/>
      <c r="M396" s="165"/>
      <c r="N396" s="165"/>
      <c r="O396" s="165"/>
      <c r="P396" s="165"/>
    </row>
    <row r="397" spans="10:16">
      <c r="J397" s="165"/>
      <c r="M397" s="165"/>
      <c r="N397" s="165"/>
      <c r="O397" s="165"/>
      <c r="P397" s="165"/>
    </row>
    <row r="398" spans="10:16">
      <c r="J398" s="165"/>
      <c r="M398" s="165"/>
      <c r="N398" s="165"/>
      <c r="O398" s="165"/>
      <c r="P398" s="165"/>
    </row>
    <row r="399" spans="10:16">
      <c r="J399" s="165"/>
      <c r="M399" s="165"/>
      <c r="N399" s="165"/>
      <c r="O399" s="165"/>
      <c r="P399" s="165"/>
    </row>
    <row r="400" spans="10:16">
      <c r="J400" s="165"/>
      <c r="M400" s="165"/>
      <c r="N400" s="165"/>
      <c r="O400" s="165"/>
      <c r="P400" s="165"/>
    </row>
    <row r="401" spans="10:16">
      <c r="J401" s="165"/>
      <c r="M401" s="165"/>
      <c r="N401" s="165"/>
      <c r="O401" s="165"/>
      <c r="P401" s="165"/>
    </row>
    <row r="402" spans="10:16">
      <c r="J402" s="165"/>
      <c r="M402" s="165"/>
      <c r="N402" s="165"/>
      <c r="O402" s="165"/>
      <c r="P402" s="165"/>
    </row>
    <row r="403" spans="10:16">
      <c r="J403" s="165"/>
      <c r="M403" s="165"/>
      <c r="N403" s="165"/>
      <c r="O403" s="165"/>
      <c r="P403" s="165"/>
    </row>
    <row r="404" spans="10:16">
      <c r="J404" s="165"/>
      <c r="M404" s="165"/>
      <c r="N404" s="165"/>
      <c r="O404" s="165"/>
      <c r="P404" s="165"/>
    </row>
    <row r="405" spans="10:16">
      <c r="J405" s="165"/>
      <c r="M405" s="165"/>
      <c r="N405" s="165"/>
      <c r="O405" s="165"/>
      <c r="P405" s="165"/>
    </row>
    <row r="406" spans="10:16">
      <c r="J406" s="165"/>
      <c r="M406" s="165"/>
      <c r="N406" s="165"/>
      <c r="O406" s="165"/>
      <c r="P406" s="165"/>
    </row>
    <row r="407" spans="10:16">
      <c r="J407" s="165"/>
      <c r="M407" s="165"/>
      <c r="N407" s="165"/>
      <c r="O407" s="165"/>
      <c r="P407" s="165"/>
    </row>
    <row r="408" spans="10:16">
      <c r="J408" s="165"/>
      <c r="M408" s="165"/>
      <c r="N408" s="165"/>
      <c r="O408" s="165"/>
      <c r="P408" s="165"/>
    </row>
    <row r="409" spans="10:16">
      <c r="J409" s="165"/>
      <c r="M409" s="165"/>
      <c r="N409" s="165"/>
      <c r="O409" s="165"/>
      <c r="P409" s="165"/>
    </row>
    <row r="410" spans="10:16">
      <c r="J410" s="165"/>
      <c r="M410" s="165"/>
      <c r="N410" s="165"/>
      <c r="O410" s="165"/>
      <c r="P410" s="165"/>
    </row>
    <row r="411" spans="10:16">
      <c r="J411" s="165"/>
      <c r="M411" s="165"/>
      <c r="N411" s="165"/>
      <c r="O411" s="165"/>
      <c r="P411" s="165"/>
    </row>
    <row r="412" spans="10:16">
      <c r="J412" s="165"/>
      <c r="M412" s="165"/>
      <c r="N412" s="165"/>
      <c r="O412" s="165"/>
      <c r="P412" s="165"/>
    </row>
    <row r="413" spans="10:16">
      <c r="J413" s="165"/>
      <c r="M413" s="165"/>
      <c r="N413" s="165"/>
      <c r="O413" s="165"/>
      <c r="P413" s="165"/>
    </row>
    <row r="414" spans="10:16">
      <c r="J414" s="165"/>
      <c r="M414" s="165"/>
      <c r="N414" s="165"/>
      <c r="O414" s="165"/>
      <c r="P414" s="165"/>
    </row>
    <row r="415" spans="10:16">
      <c r="J415" s="165"/>
      <c r="M415" s="165"/>
      <c r="N415" s="165"/>
      <c r="O415" s="165"/>
      <c r="P415" s="165"/>
    </row>
    <row r="416" spans="10:16">
      <c r="J416" s="165"/>
      <c r="M416" s="165"/>
      <c r="N416" s="165"/>
      <c r="O416" s="165"/>
      <c r="P416" s="165"/>
    </row>
    <row r="417" spans="10:16">
      <c r="J417" s="165"/>
      <c r="M417" s="165"/>
      <c r="N417" s="165"/>
      <c r="O417" s="165"/>
      <c r="P417" s="165"/>
    </row>
    <row r="418" spans="10:16">
      <c r="J418" s="165"/>
      <c r="M418" s="165"/>
      <c r="N418" s="165"/>
      <c r="O418" s="165"/>
      <c r="P418" s="165"/>
    </row>
    <row r="419" spans="10:16">
      <c r="J419" s="165"/>
      <c r="M419" s="165"/>
      <c r="N419" s="165"/>
      <c r="O419" s="165"/>
      <c r="P419" s="165"/>
    </row>
    <row r="420" spans="10:16">
      <c r="J420" s="165"/>
      <c r="M420" s="165"/>
      <c r="N420" s="165"/>
      <c r="O420" s="165"/>
      <c r="P420" s="165"/>
    </row>
    <row r="421" spans="10:16">
      <c r="J421" s="165"/>
      <c r="M421" s="165"/>
      <c r="N421" s="165"/>
      <c r="O421" s="165"/>
      <c r="P421" s="165"/>
    </row>
    <row r="422" spans="10:16">
      <c r="J422" s="165"/>
      <c r="M422" s="165"/>
      <c r="N422" s="165"/>
      <c r="O422" s="165"/>
      <c r="P422" s="165"/>
    </row>
    <row r="423" spans="10:16">
      <c r="J423" s="165"/>
      <c r="M423" s="165"/>
      <c r="N423" s="165"/>
      <c r="O423" s="165"/>
      <c r="P423" s="165"/>
    </row>
    <row r="424" spans="10:16">
      <c r="J424" s="165"/>
      <c r="M424" s="165"/>
      <c r="N424" s="165"/>
      <c r="O424" s="165"/>
      <c r="P424" s="165"/>
    </row>
    <row r="425" spans="10:16">
      <c r="J425" s="165"/>
      <c r="M425" s="165"/>
      <c r="N425" s="165"/>
      <c r="O425" s="165"/>
      <c r="P425" s="165"/>
    </row>
    <row r="426" spans="10:16">
      <c r="J426" s="165"/>
      <c r="M426" s="165"/>
      <c r="N426" s="165"/>
      <c r="O426" s="165"/>
      <c r="P426" s="165"/>
    </row>
    <row r="427" spans="10:16">
      <c r="J427" s="165"/>
      <c r="M427" s="165"/>
      <c r="N427" s="165"/>
      <c r="O427" s="165"/>
      <c r="P427" s="165"/>
    </row>
    <row r="428" spans="10:16">
      <c r="J428" s="165"/>
      <c r="M428" s="165"/>
      <c r="N428" s="165"/>
      <c r="O428" s="165"/>
      <c r="P428" s="165"/>
    </row>
    <row r="429" spans="10:16">
      <c r="J429" s="165"/>
      <c r="M429" s="165"/>
      <c r="N429" s="165"/>
      <c r="O429" s="165"/>
      <c r="P429" s="165"/>
    </row>
    <row r="430" spans="10:16">
      <c r="J430" s="165"/>
      <c r="M430" s="165"/>
      <c r="N430" s="165"/>
      <c r="O430" s="165"/>
      <c r="P430" s="165"/>
    </row>
    <row r="431" spans="10:16">
      <c r="J431" s="165"/>
      <c r="M431" s="165"/>
      <c r="N431" s="165"/>
      <c r="O431" s="165"/>
      <c r="P431" s="165"/>
    </row>
    <row r="432" spans="10:16">
      <c r="J432" s="165"/>
      <c r="M432" s="165"/>
      <c r="N432" s="165"/>
      <c r="O432" s="165"/>
      <c r="P432" s="165"/>
    </row>
    <row r="433" spans="10:16">
      <c r="J433" s="165"/>
      <c r="M433" s="165"/>
      <c r="N433" s="165"/>
      <c r="O433" s="165"/>
      <c r="P433" s="165"/>
    </row>
    <row r="434" spans="10:16">
      <c r="J434" s="165"/>
      <c r="M434" s="165"/>
      <c r="N434" s="165"/>
      <c r="O434" s="165"/>
      <c r="P434" s="165"/>
    </row>
    <row r="435" spans="10:16">
      <c r="J435" s="165"/>
      <c r="M435" s="165"/>
      <c r="N435" s="165"/>
      <c r="O435" s="165"/>
      <c r="P435" s="165"/>
    </row>
    <row r="436" spans="10:16">
      <c r="J436" s="165"/>
      <c r="M436" s="165"/>
      <c r="N436" s="165"/>
      <c r="O436" s="165"/>
      <c r="P436" s="165"/>
    </row>
    <row r="437" spans="10:16">
      <c r="J437" s="165"/>
      <c r="M437" s="165"/>
      <c r="N437" s="165"/>
      <c r="O437" s="165"/>
      <c r="P437" s="165"/>
    </row>
    <row r="438" spans="10:16">
      <c r="J438" s="165"/>
      <c r="M438" s="165"/>
      <c r="N438" s="165"/>
      <c r="O438" s="165"/>
      <c r="P438" s="165"/>
    </row>
    <row r="439" spans="10:16">
      <c r="J439" s="165"/>
      <c r="M439" s="165"/>
      <c r="N439" s="165"/>
      <c r="O439" s="165"/>
      <c r="P439" s="165"/>
    </row>
    <row r="440" spans="10:16">
      <c r="J440" s="165"/>
      <c r="M440" s="165"/>
      <c r="N440" s="165"/>
      <c r="O440" s="165"/>
      <c r="P440" s="165"/>
    </row>
    <row r="441" spans="10:16">
      <c r="J441" s="165"/>
      <c r="M441" s="165"/>
      <c r="N441" s="165"/>
      <c r="O441" s="165"/>
      <c r="P441" s="165"/>
    </row>
    <row r="442" spans="10:16">
      <c r="J442" s="165"/>
      <c r="M442" s="165"/>
      <c r="N442" s="165"/>
      <c r="O442" s="165"/>
      <c r="P442" s="165"/>
    </row>
    <row r="443" spans="10:16">
      <c r="J443" s="165"/>
      <c r="M443" s="165"/>
      <c r="N443" s="165"/>
      <c r="O443" s="165"/>
      <c r="P443" s="165"/>
    </row>
    <row r="444" spans="10:16">
      <c r="J444" s="165"/>
      <c r="M444" s="165"/>
      <c r="N444" s="165"/>
      <c r="O444" s="165"/>
      <c r="P444" s="165"/>
    </row>
    <row r="445" spans="10:16">
      <c r="J445" s="165"/>
      <c r="M445" s="165"/>
      <c r="N445" s="165"/>
      <c r="O445" s="165"/>
      <c r="P445" s="165"/>
    </row>
    <row r="446" spans="10:16">
      <c r="J446" s="165"/>
      <c r="M446" s="165"/>
      <c r="N446" s="165"/>
      <c r="O446" s="165"/>
      <c r="P446" s="165"/>
    </row>
    <row r="447" spans="10:16">
      <c r="J447" s="165"/>
      <c r="M447" s="165"/>
      <c r="N447" s="165"/>
      <c r="O447" s="165"/>
      <c r="P447" s="165"/>
    </row>
    <row r="448" spans="10:16">
      <c r="J448" s="165"/>
      <c r="M448" s="165"/>
      <c r="N448" s="165"/>
      <c r="O448" s="165"/>
      <c r="P448" s="165"/>
    </row>
    <row r="449" spans="10:16">
      <c r="J449" s="165"/>
      <c r="M449" s="165"/>
      <c r="N449" s="165"/>
      <c r="O449" s="165"/>
      <c r="P449" s="165"/>
    </row>
    <row r="450" spans="10:16">
      <c r="J450" s="165"/>
      <c r="M450" s="165"/>
      <c r="N450" s="165"/>
      <c r="O450" s="165"/>
      <c r="P450" s="165"/>
    </row>
    <row r="451" spans="10:16">
      <c r="J451" s="165"/>
      <c r="M451" s="165"/>
      <c r="N451" s="165"/>
      <c r="O451" s="165"/>
      <c r="P451" s="165"/>
    </row>
    <row r="452" spans="10:16">
      <c r="J452" s="165"/>
      <c r="M452" s="165"/>
      <c r="N452" s="165"/>
      <c r="O452" s="165"/>
      <c r="P452" s="165"/>
    </row>
    <row r="453" spans="10:16">
      <c r="J453" s="165"/>
      <c r="M453" s="165"/>
      <c r="N453" s="165"/>
      <c r="O453" s="165"/>
      <c r="P453" s="165"/>
    </row>
    <row r="454" spans="10:16">
      <c r="J454" s="165"/>
      <c r="M454" s="165"/>
      <c r="N454" s="165"/>
      <c r="O454" s="165"/>
      <c r="P454" s="165"/>
    </row>
    <row r="455" spans="10:16">
      <c r="J455" s="165"/>
      <c r="M455" s="165"/>
      <c r="N455" s="165"/>
      <c r="O455" s="165"/>
      <c r="P455" s="165"/>
    </row>
    <row r="456" spans="10:16">
      <c r="J456" s="165"/>
      <c r="M456" s="165"/>
      <c r="N456" s="165"/>
      <c r="O456" s="165"/>
      <c r="P456" s="165"/>
    </row>
    <row r="457" spans="10:16">
      <c r="J457" s="165"/>
      <c r="M457" s="165"/>
      <c r="N457" s="165"/>
      <c r="O457" s="165"/>
      <c r="P457" s="165"/>
    </row>
    <row r="458" spans="10:16">
      <c r="J458" s="165"/>
      <c r="M458" s="165"/>
      <c r="N458" s="165"/>
      <c r="O458" s="165"/>
      <c r="P458" s="165"/>
    </row>
  </sheetData>
  <mergeCells count="27">
    <mergeCell ref="N116:O116"/>
    <mergeCell ref="M1:N1"/>
    <mergeCell ref="K4:L4"/>
    <mergeCell ref="D5:E5"/>
    <mergeCell ref="J5:M5"/>
    <mergeCell ref="N113:O113"/>
    <mergeCell ref="D114:E114"/>
    <mergeCell ref="D120:E120"/>
    <mergeCell ref="A1:H1"/>
    <mergeCell ref="D9:E9"/>
    <mergeCell ref="D11:E11"/>
    <mergeCell ref="D22:E22"/>
    <mergeCell ref="D57:E57"/>
    <mergeCell ref="D58:E58"/>
    <mergeCell ref="D67:E67"/>
    <mergeCell ref="N186:O186"/>
    <mergeCell ref="N187:O187"/>
    <mergeCell ref="N188:O188"/>
    <mergeCell ref="N274:O274"/>
    <mergeCell ref="K286:L286"/>
    <mergeCell ref="K276:L276"/>
    <mergeCell ref="K277:L277"/>
    <mergeCell ref="K278:L278"/>
    <mergeCell ref="K283:L283"/>
    <mergeCell ref="K284:L284"/>
    <mergeCell ref="K285:L285"/>
    <mergeCell ref="N275:O275"/>
  </mergeCells>
  <dataValidations disablePrompts="1" count="1">
    <dataValidation type="decimal" showInputMessage="1" showErrorMessage="1" errorTitle="Invaid Entry" error="Only Numeric Values are allowed. " promptTitle="Rate Entry" prompt="Please enter the Rate in Rupees for this item. " sqref="F14">
      <formula1>0</formula1>
      <formula2>999999999999999</formula2>
    </dataValidation>
  </dataValidations>
  <printOptions horizontalCentered="1" gridLines="1"/>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zoomScale="110" zoomScaleSheetLayoutView="110" workbookViewId="0">
      <selection activeCell="D4" sqref="D4"/>
    </sheetView>
  </sheetViews>
  <sheetFormatPr defaultRowHeight="12.75"/>
  <cols>
    <col min="2" max="2" width="38" customWidth="1"/>
  </cols>
  <sheetData>
    <row r="1" spans="1:7" ht="21.75" customHeight="1">
      <c r="A1" s="1261" t="s">
        <v>466</v>
      </c>
      <c r="B1" s="1261"/>
      <c r="C1" s="1261"/>
      <c r="D1" s="1261"/>
      <c r="E1" s="1261"/>
      <c r="F1" s="1261"/>
      <c r="G1" s="242"/>
    </row>
    <row r="2" spans="1:7" ht="12.75" customHeight="1">
      <c r="A2" s="1261"/>
      <c r="B2" s="1261"/>
      <c r="C2" s="1261"/>
      <c r="D2" s="1261"/>
      <c r="E2" s="1261"/>
      <c r="F2" s="1261"/>
    </row>
    <row r="3" spans="1:7" ht="21" customHeight="1">
      <c r="A3" s="119" t="s">
        <v>644</v>
      </c>
      <c r="B3" s="119" t="s">
        <v>645</v>
      </c>
      <c r="C3" s="119" t="s">
        <v>413</v>
      </c>
      <c r="D3" s="119" t="s">
        <v>96</v>
      </c>
      <c r="E3" s="119" t="s">
        <v>567</v>
      </c>
      <c r="F3" s="119" t="s">
        <v>568</v>
      </c>
    </row>
    <row r="4" spans="1:7" ht="76.5">
      <c r="A4" s="170">
        <v>1</v>
      </c>
      <c r="B4" s="204" t="s">
        <v>638</v>
      </c>
      <c r="C4" s="1">
        <v>2689</v>
      </c>
      <c r="D4" s="169" t="s">
        <v>32</v>
      </c>
      <c r="E4" s="169">
        <v>3.6</v>
      </c>
      <c r="F4" s="169">
        <f t="shared" ref="F4:F10" si="0">E4*C4</f>
        <v>9680.4</v>
      </c>
      <c r="G4" s="169"/>
    </row>
    <row r="5" spans="1:7" ht="51">
      <c r="A5" s="170">
        <v>2</v>
      </c>
      <c r="B5" s="204" t="s">
        <v>639</v>
      </c>
      <c r="C5" s="1">
        <f>2689*4.5</f>
        <v>12100.5</v>
      </c>
      <c r="D5" s="244" t="s">
        <v>640</v>
      </c>
      <c r="E5" s="169">
        <v>36</v>
      </c>
      <c r="F5" s="169">
        <f t="shared" si="0"/>
        <v>435618</v>
      </c>
      <c r="G5" s="169"/>
    </row>
    <row r="6" spans="1:7" ht="51">
      <c r="A6" s="170">
        <v>3</v>
      </c>
      <c r="B6" s="204" t="s">
        <v>641</v>
      </c>
      <c r="C6" s="1">
        <v>2689</v>
      </c>
      <c r="D6" s="169" t="s">
        <v>32</v>
      </c>
      <c r="E6" s="169">
        <v>38</v>
      </c>
      <c r="F6" s="169">
        <f t="shared" si="0"/>
        <v>102182</v>
      </c>
      <c r="G6" s="169"/>
    </row>
    <row r="7" spans="1:7" ht="51">
      <c r="A7" s="122">
        <v>4</v>
      </c>
      <c r="B7" s="204" t="s">
        <v>646</v>
      </c>
      <c r="C7" s="1">
        <f>C8/2</f>
        <v>2016.75</v>
      </c>
      <c r="D7" s="244" t="s">
        <v>25</v>
      </c>
      <c r="E7" s="117" t="e">
        <f>#REF!</f>
        <v>#REF!</v>
      </c>
      <c r="F7" s="169" t="e">
        <f t="shared" si="0"/>
        <v>#REF!</v>
      </c>
      <c r="G7" s="169"/>
    </row>
    <row r="8" spans="1:7" ht="63.75">
      <c r="A8" s="243">
        <v>5</v>
      </c>
      <c r="B8" s="204" t="s">
        <v>642</v>
      </c>
      <c r="C8" s="1">
        <f>C5/3</f>
        <v>4033.5</v>
      </c>
      <c r="D8" s="244" t="s">
        <v>25</v>
      </c>
      <c r="E8" s="169">
        <v>120</v>
      </c>
      <c r="F8" s="169">
        <f t="shared" si="0"/>
        <v>484020</v>
      </c>
      <c r="G8" s="169"/>
    </row>
    <row r="9" spans="1:7" ht="102">
      <c r="A9" s="170">
        <v>6</v>
      </c>
      <c r="B9" s="204" t="s">
        <v>643</v>
      </c>
      <c r="C9" s="1">
        <f>180*3.5*6</f>
        <v>3780</v>
      </c>
      <c r="D9" s="1" t="s">
        <v>25</v>
      </c>
      <c r="E9" s="1">
        <v>839</v>
      </c>
      <c r="F9" s="169">
        <f t="shared" si="0"/>
        <v>3171420</v>
      </c>
      <c r="G9" s="122"/>
    </row>
    <row r="10" spans="1:7" ht="76.5">
      <c r="A10" s="170">
        <v>7</v>
      </c>
      <c r="B10" s="204" t="s">
        <v>647</v>
      </c>
      <c r="C10" s="1">
        <f>C5*25%</f>
        <v>3025.125</v>
      </c>
      <c r="D10" s="1" t="s">
        <v>25</v>
      </c>
      <c r="E10" s="1">
        <v>101.5</v>
      </c>
      <c r="F10" s="234">
        <f t="shared" si="0"/>
        <v>307050.1875</v>
      </c>
      <c r="G10" s="122"/>
    </row>
    <row r="11" spans="1:7">
      <c r="F11" s="249" t="e">
        <f>SUM(F4:F10)</f>
        <v>#REF!</v>
      </c>
    </row>
  </sheetData>
  <mergeCells count="2">
    <mergeCell ref="A1:F1"/>
    <mergeCell ref="A2:F2"/>
  </mergeCells>
  <printOptions gridLines="1"/>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37" workbookViewId="0">
      <selection activeCell="G9" sqref="G9"/>
    </sheetView>
  </sheetViews>
  <sheetFormatPr defaultRowHeight="12.75"/>
  <cols>
    <col min="1" max="1" width="6.7109375" style="9" bestFit="1" customWidth="1"/>
    <col min="2" max="2" width="51" style="9" customWidth="1"/>
    <col min="3" max="3" width="5.5703125" style="160" bestFit="1" customWidth="1"/>
    <col min="4" max="4" width="5.28515625" style="160" bestFit="1" customWidth="1"/>
    <col min="5" max="5" width="10.140625" style="160" customWidth="1"/>
    <col min="6" max="6" width="12" style="160" customWidth="1"/>
    <col min="7" max="13" width="9.140625" style="9"/>
    <col min="14" max="14" width="9.5703125" style="9" bestFit="1" customWidth="1"/>
    <col min="15" max="16384" width="9.140625" style="9"/>
  </cols>
  <sheetData>
    <row r="1" spans="1:6" ht="29.25" customHeight="1">
      <c r="A1" s="1262" t="s">
        <v>927</v>
      </c>
      <c r="B1" s="1262"/>
      <c r="C1" s="1262"/>
      <c r="D1" s="1262"/>
      <c r="E1" s="1262"/>
      <c r="F1" s="1262"/>
    </row>
    <row r="2" spans="1:6">
      <c r="A2" s="303" t="s">
        <v>38</v>
      </c>
      <c r="B2" s="304"/>
      <c r="C2" s="305"/>
      <c r="D2" s="306"/>
      <c r="E2" s="305"/>
      <c r="F2" s="305"/>
    </row>
    <row r="3" spans="1:6">
      <c r="A3" s="307" t="s">
        <v>172</v>
      </c>
      <c r="B3" s="308" t="s">
        <v>19</v>
      </c>
      <c r="C3" s="163" t="s">
        <v>173</v>
      </c>
      <c r="D3" s="163" t="s">
        <v>21</v>
      </c>
      <c r="E3" s="163" t="s">
        <v>20</v>
      </c>
      <c r="F3" s="163" t="s">
        <v>22</v>
      </c>
    </row>
    <row r="4" spans="1:6">
      <c r="A4" s="309"/>
      <c r="B4" s="310"/>
      <c r="C4" s="311"/>
      <c r="D4" s="312"/>
      <c r="E4" s="311"/>
      <c r="F4" s="311"/>
    </row>
    <row r="5" spans="1:6" ht="127.5">
      <c r="A5" s="309">
        <v>1</v>
      </c>
      <c r="B5" s="156" t="s">
        <v>928</v>
      </c>
      <c r="C5" s="102">
        <v>3</v>
      </c>
      <c r="D5" s="102" t="s">
        <v>603</v>
      </c>
      <c r="E5" s="102" t="e">
        <f>'P.H. Analysis'!F63</f>
        <v>#REF!</v>
      </c>
      <c r="F5" s="102" t="e">
        <f t="shared" ref="F5:F33" si="0">E5*C5</f>
        <v>#REF!</v>
      </c>
    </row>
    <row r="6" spans="1:6" ht="89.25">
      <c r="A6" s="309">
        <v>2</v>
      </c>
      <c r="B6" s="156" t="s">
        <v>929</v>
      </c>
      <c r="C6" s="102">
        <v>4</v>
      </c>
      <c r="D6" s="102" t="s">
        <v>603</v>
      </c>
      <c r="E6" s="102" t="e">
        <f>'P.H. Analysis'!F147</f>
        <v>#REF!</v>
      </c>
      <c r="F6" s="102" t="e">
        <f t="shared" si="0"/>
        <v>#REF!</v>
      </c>
    </row>
    <row r="7" spans="1:6" ht="93" customHeight="1">
      <c r="A7" s="309">
        <v>3</v>
      </c>
      <c r="B7" s="156" t="s">
        <v>930</v>
      </c>
      <c r="C7" s="16">
        <v>4</v>
      </c>
      <c r="D7" s="102" t="s">
        <v>603</v>
      </c>
      <c r="E7" s="102" t="e">
        <f>'P.H. Analysis'!F166</f>
        <v>#REF!</v>
      </c>
      <c r="F7" s="102" t="e">
        <f t="shared" si="0"/>
        <v>#REF!</v>
      </c>
    </row>
    <row r="8" spans="1:6" ht="63.75">
      <c r="A8" s="309">
        <v>4</v>
      </c>
      <c r="B8" s="156" t="s">
        <v>931</v>
      </c>
      <c r="C8" s="16">
        <v>3</v>
      </c>
      <c r="D8" s="16" t="s">
        <v>603</v>
      </c>
      <c r="E8" s="16" t="e">
        <f>'P.H. Analysis'!F183</f>
        <v>#REF!</v>
      </c>
      <c r="F8" s="102" t="e">
        <f t="shared" si="0"/>
        <v>#REF!</v>
      </c>
    </row>
    <row r="9" spans="1:6" s="20" customFormat="1" ht="76.5">
      <c r="A9" s="309">
        <v>5</v>
      </c>
      <c r="B9" s="156" t="s">
        <v>932</v>
      </c>
      <c r="C9" s="16">
        <v>3</v>
      </c>
      <c r="D9" s="16" t="s">
        <v>603</v>
      </c>
      <c r="E9" s="16" t="e">
        <f>'P.H. Analysis'!F215</f>
        <v>#REF!</v>
      </c>
      <c r="F9" s="102" t="e">
        <f>E9*C9</f>
        <v>#REF!</v>
      </c>
    </row>
    <row r="10" spans="1:6" ht="76.5">
      <c r="A10" s="309">
        <v>6</v>
      </c>
      <c r="B10" s="156" t="s">
        <v>933</v>
      </c>
      <c r="C10" s="16">
        <v>3</v>
      </c>
      <c r="D10" s="16" t="s">
        <v>603</v>
      </c>
      <c r="E10" s="16" t="e">
        <f>'P.H. Analysis'!F232</f>
        <v>#REF!</v>
      </c>
      <c r="F10" s="102" t="e">
        <f t="shared" si="0"/>
        <v>#REF!</v>
      </c>
    </row>
    <row r="11" spans="1:6" ht="76.5">
      <c r="A11" s="309">
        <v>7</v>
      </c>
      <c r="B11" s="156" t="s">
        <v>934</v>
      </c>
      <c r="C11" s="16">
        <v>3</v>
      </c>
      <c r="D11" s="16" t="s">
        <v>603</v>
      </c>
      <c r="E11" s="16" t="e">
        <f>'P.H. Analysis'!F284</f>
        <v>#REF!</v>
      </c>
      <c r="F11" s="102" t="e">
        <f t="shared" si="0"/>
        <v>#REF!</v>
      </c>
    </row>
    <row r="12" spans="1:6" ht="76.5">
      <c r="A12" s="309">
        <v>8</v>
      </c>
      <c r="B12" s="156" t="s">
        <v>935</v>
      </c>
      <c r="C12" s="16">
        <v>2</v>
      </c>
      <c r="D12" s="16" t="s">
        <v>603</v>
      </c>
      <c r="E12" s="16" t="e">
        <f>'P.H. Analysis'!F199</f>
        <v>#REF!</v>
      </c>
      <c r="F12" s="102" t="e">
        <f>E12*C12</f>
        <v>#REF!</v>
      </c>
    </row>
    <row r="13" spans="1:6" ht="76.5">
      <c r="A13" s="309">
        <v>9</v>
      </c>
      <c r="B13" s="156" t="s">
        <v>738</v>
      </c>
      <c r="C13" s="9"/>
      <c r="D13" s="9"/>
      <c r="E13" s="9"/>
      <c r="F13" s="9"/>
    </row>
    <row r="14" spans="1:6">
      <c r="A14" s="309" t="s">
        <v>475</v>
      </c>
      <c r="B14" s="156" t="s">
        <v>936</v>
      </c>
      <c r="C14" s="16">
        <v>12</v>
      </c>
      <c r="D14" s="16" t="s">
        <v>937</v>
      </c>
      <c r="E14" s="16" t="e">
        <f>'P.H. Analysis'!F314</f>
        <v>#REF!</v>
      </c>
      <c r="F14" s="102" t="e">
        <f>E14*C14</f>
        <v>#REF!</v>
      </c>
    </row>
    <row r="15" spans="1:6">
      <c r="A15" s="309" t="s">
        <v>476</v>
      </c>
      <c r="B15" s="156" t="s">
        <v>938</v>
      </c>
      <c r="C15" s="16">
        <v>35</v>
      </c>
      <c r="D15" s="16" t="s">
        <v>937</v>
      </c>
      <c r="E15" s="16" t="e">
        <f>'P.H. Analysis'!F333</f>
        <v>#REF!</v>
      </c>
      <c r="F15" s="102" t="e">
        <f>E15*C15</f>
        <v>#REF!</v>
      </c>
    </row>
    <row r="16" spans="1:6" s="313" customFormat="1" ht="51">
      <c r="A16" s="309">
        <v>10</v>
      </c>
      <c r="B16" s="156" t="s">
        <v>939</v>
      </c>
      <c r="C16" s="16">
        <v>10</v>
      </c>
      <c r="D16" s="16" t="s">
        <v>603</v>
      </c>
      <c r="E16" s="16">
        <f>'P.H. Analysis'!F336</f>
        <v>118.3</v>
      </c>
      <c r="F16" s="102">
        <f t="shared" si="0"/>
        <v>1183</v>
      </c>
    </row>
    <row r="17" spans="1:6" s="313" customFormat="1" ht="51">
      <c r="A17" s="309">
        <v>11</v>
      </c>
      <c r="B17" s="156" t="s">
        <v>940</v>
      </c>
      <c r="C17" s="16">
        <v>6</v>
      </c>
      <c r="D17" s="16" t="s">
        <v>603</v>
      </c>
      <c r="E17" s="16">
        <f>'P.H. Analysis'!F337</f>
        <v>95.6</v>
      </c>
      <c r="F17" s="102">
        <f t="shared" si="0"/>
        <v>573.59999999999991</v>
      </c>
    </row>
    <row r="18" spans="1:6" s="313" customFormat="1" ht="15.75" customHeight="1">
      <c r="A18" s="309">
        <v>12</v>
      </c>
      <c r="B18" s="156" t="s">
        <v>941</v>
      </c>
      <c r="C18" s="16">
        <v>6</v>
      </c>
      <c r="D18" s="16" t="s">
        <v>603</v>
      </c>
      <c r="E18" s="16">
        <f>'P.H. Analysis'!F338</f>
        <v>97.4</v>
      </c>
      <c r="F18" s="102">
        <f t="shared" si="0"/>
        <v>584.40000000000009</v>
      </c>
    </row>
    <row r="19" spans="1:6" s="313" customFormat="1">
      <c r="A19" s="309">
        <v>13</v>
      </c>
      <c r="B19" s="156" t="s">
        <v>942</v>
      </c>
      <c r="C19" s="16">
        <v>3</v>
      </c>
      <c r="D19" s="16" t="s">
        <v>603</v>
      </c>
      <c r="E19" s="16">
        <f>'P.H. Analysis'!F339</f>
        <v>170.6</v>
      </c>
      <c r="F19" s="102">
        <f t="shared" si="0"/>
        <v>511.79999999999995</v>
      </c>
    </row>
    <row r="20" spans="1:6" s="313" customFormat="1">
      <c r="A20" s="309">
        <v>14</v>
      </c>
      <c r="B20" s="156" t="s">
        <v>943</v>
      </c>
      <c r="C20" s="16">
        <v>3</v>
      </c>
      <c r="D20" s="16" t="s">
        <v>603</v>
      </c>
      <c r="E20" s="16">
        <f>'P.H. Analysis'!F340</f>
        <v>200</v>
      </c>
      <c r="F20" s="102">
        <f t="shared" si="0"/>
        <v>600</v>
      </c>
    </row>
    <row r="21" spans="1:6" s="313" customFormat="1">
      <c r="A21" s="309">
        <v>15</v>
      </c>
      <c r="B21" s="156" t="s">
        <v>944</v>
      </c>
      <c r="C21" s="16">
        <v>3</v>
      </c>
      <c r="D21" s="16" t="s">
        <v>603</v>
      </c>
      <c r="E21" s="16">
        <f>'P.H. Analysis'!F341</f>
        <v>35.4</v>
      </c>
      <c r="F21" s="102">
        <f t="shared" si="0"/>
        <v>106.19999999999999</v>
      </c>
    </row>
    <row r="22" spans="1:6" ht="38.25">
      <c r="A22" s="309">
        <v>16</v>
      </c>
      <c r="B22" s="156" t="s">
        <v>945</v>
      </c>
      <c r="C22" s="16">
        <v>3</v>
      </c>
      <c r="D22" s="16" t="s">
        <v>603</v>
      </c>
      <c r="E22" s="16" t="e">
        <f>'P.H. Analysis'!F354</f>
        <v>#REF!</v>
      </c>
      <c r="F22" s="102" t="e">
        <f t="shared" si="0"/>
        <v>#REF!</v>
      </c>
    </row>
    <row r="23" spans="1:6" ht="76.5">
      <c r="A23" s="309">
        <v>17</v>
      </c>
      <c r="B23" s="156" t="s">
        <v>946</v>
      </c>
      <c r="C23" s="16">
        <v>3</v>
      </c>
      <c r="D23" s="16" t="s">
        <v>603</v>
      </c>
      <c r="E23" s="16">
        <f>'P.H. Analysis'!F359</f>
        <v>207.1</v>
      </c>
      <c r="F23" s="102">
        <f t="shared" si="0"/>
        <v>621.29999999999995</v>
      </c>
    </row>
    <row r="24" spans="1:6" ht="76.5">
      <c r="A24" s="309">
        <v>18</v>
      </c>
      <c r="B24" s="156" t="s">
        <v>947</v>
      </c>
      <c r="C24" s="16"/>
      <c r="D24" s="16"/>
      <c r="E24" s="16"/>
      <c r="F24" s="16"/>
    </row>
    <row r="25" spans="1:6">
      <c r="A25" s="309" t="s">
        <v>475</v>
      </c>
      <c r="B25" s="156" t="s">
        <v>948</v>
      </c>
      <c r="C25" s="16">
        <v>12</v>
      </c>
      <c r="D25" s="16" t="s">
        <v>937</v>
      </c>
      <c r="E25" s="16" t="e">
        <f>'P.H. Analysis'!F378</f>
        <v>#REF!</v>
      </c>
      <c r="F25" s="16" t="e">
        <f t="shared" si="0"/>
        <v>#REF!</v>
      </c>
    </row>
    <row r="26" spans="1:6">
      <c r="A26" s="309" t="s">
        <v>476</v>
      </c>
      <c r="B26" s="156" t="s">
        <v>949</v>
      </c>
      <c r="C26" s="16">
        <v>35</v>
      </c>
      <c r="D26" s="16" t="s">
        <v>937</v>
      </c>
      <c r="E26" s="16" t="e">
        <f>'P.H. Analysis'!F414</f>
        <v>#REF!</v>
      </c>
      <c r="F26" s="16" t="e">
        <f t="shared" si="0"/>
        <v>#REF!</v>
      </c>
    </row>
    <row r="27" spans="1:6">
      <c r="A27" s="309" t="s">
        <v>477</v>
      </c>
      <c r="B27" s="156" t="s">
        <v>950</v>
      </c>
      <c r="C27" s="16">
        <v>20</v>
      </c>
      <c r="D27" s="16" t="s">
        <v>937</v>
      </c>
      <c r="E27" s="16" t="e">
        <f>'P.H. Analysis'!F432</f>
        <v>#REF!</v>
      </c>
      <c r="F27" s="16" t="e">
        <f>E27*C27</f>
        <v>#REF!</v>
      </c>
    </row>
    <row r="28" spans="1:6">
      <c r="A28" s="309" t="s">
        <v>951</v>
      </c>
      <c r="B28" s="156" t="s">
        <v>952</v>
      </c>
      <c r="C28" s="16">
        <v>20</v>
      </c>
      <c r="D28" s="16" t="s">
        <v>937</v>
      </c>
      <c r="E28" s="16" t="e">
        <f>'P.H. Analysis'!F450</f>
        <v>#REF!</v>
      </c>
      <c r="F28" s="16" t="e">
        <f t="shared" si="0"/>
        <v>#REF!</v>
      </c>
    </row>
    <row r="29" spans="1:6" ht="76.5">
      <c r="A29" s="309">
        <v>19</v>
      </c>
      <c r="B29" s="156" t="s">
        <v>953</v>
      </c>
      <c r="C29" s="16">
        <v>3</v>
      </c>
      <c r="D29" s="16" t="s">
        <v>603</v>
      </c>
      <c r="E29" s="16" t="e">
        <f>'P.H. Analysis'!F468</f>
        <v>#REF!</v>
      </c>
      <c r="F29" s="102" t="e">
        <f t="shared" si="0"/>
        <v>#REF!</v>
      </c>
    </row>
    <row r="30" spans="1:6" ht="76.5">
      <c r="A30" s="309">
        <v>20</v>
      </c>
      <c r="B30" s="156" t="s">
        <v>954</v>
      </c>
      <c r="C30" s="16">
        <v>3</v>
      </c>
      <c r="D30" s="16" t="s">
        <v>603</v>
      </c>
      <c r="E30" s="16" t="e">
        <f>'P.H. Analysis'!F486</f>
        <v>#REF!</v>
      </c>
      <c r="F30" s="102" t="e">
        <f>E30*C30</f>
        <v>#REF!</v>
      </c>
    </row>
    <row r="31" spans="1:6" ht="76.5">
      <c r="A31" s="309">
        <v>21</v>
      </c>
      <c r="B31" s="156" t="s">
        <v>955</v>
      </c>
      <c r="C31" s="314">
        <v>7</v>
      </c>
      <c r="D31" s="314" t="s">
        <v>603</v>
      </c>
      <c r="E31" s="317" t="e">
        <f>'P.H. Analysis'!F503</f>
        <v>#REF!</v>
      </c>
      <c r="F31" s="314" t="e">
        <f t="shared" si="0"/>
        <v>#REF!</v>
      </c>
    </row>
    <row r="32" spans="1:6" s="313" customFormat="1" ht="51">
      <c r="A32" s="315">
        <v>22</v>
      </c>
      <c r="B32" s="316" t="s">
        <v>956</v>
      </c>
      <c r="C32" s="314">
        <v>4</v>
      </c>
      <c r="D32" s="314" t="s">
        <v>603</v>
      </c>
      <c r="E32" s="317" t="e">
        <f>'P.H. Analysis'!F537</f>
        <v>#REF!</v>
      </c>
      <c r="F32" s="314" t="e">
        <f t="shared" si="0"/>
        <v>#REF!</v>
      </c>
    </row>
    <row r="33" spans="1:14" s="313" customFormat="1" ht="127.5">
      <c r="A33" s="315">
        <v>23</v>
      </c>
      <c r="B33" s="316" t="s">
        <v>957</v>
      </c>
      <c r="C33" s="314">
        <v>1</v>
      </c>
      <c r="D33" s="314" t="s">
        <v>603</v>
      </c>
      <c r="E33" s="317" t="e">
        <f>'P.H. Analysis'!F555</f>
        <v>#REF!</v>
      </c>
      <c r="F33" s="314" t="e">
        <f t="shared" si="0"/>
        <v>#REF!</v>
      </c>
    </row>
    <row r="34" spans="1:14" s="313" customFormat="1" ht="51">
      <c r="A34" s="315">
        <v>24</v>
      </c>
      <c r="B34" s="316" t="s">
        <v>958</v>
      </c>
      <c r="C34" s="314"/>
      <c r="D34" s="314"/>
      <c r="E34" s="314"/>
      <c r="F34" s="314"/>
    </row>
    <row r="35" spans="1:14" s="313" customFormat="1">
      <c r="A35" s="315"/>
      <c r="B35" s="316" t="s">
        <v>959</v>
      </c>
      <c r="C35" s="314">
        <v>3</v>
      </c>
      <c r="D35" s="314" t="s">
        <v>24</v>
      </c>
      <c r="E35" s="317" t="e">
        <f>'P.H. Analysis'!F654</f>
        <v>#REF!</v>
      </c>
      <c r="F35" s="314" t="e">
        <f>C35*E35</f>
        <v>#REF!</v>
      </c>
    </row>
    <row r="36" spans="1:14" s="313" customFormat="1" ht="140.25">
      <c r="A36" s="315">
        <v>25</v>
      </c>
      <c r="B36" s="316" t="s">
        <v>960</v>
      </c>
      <c r="C36" s="314">
        <v>3</v>
      </c>
      <c r="D36" s="314" t="s">
        <v>409</v>
      </c>
      <c r="E36" s="317">
        <f>'P.H. Analysis'!F606</f>
        <v>853.2</v>
      </c>
      <c r="F36" s="314">
        <f>C36*E36</f>
        <v>2559.6000000000004</v>
      </c>
    </row>
    <row r="37" spans="1:14" ht="120" customHeight="1">
      <c r="A37" s="315">
        <v>26</v>
      </c>
      <c r="B37" s="316" t="s">
        <v>961</v>
      </c>
      <c r="C37" s="314"/>
      <c r="D37" s="317"/>
      <c r="E37" s="318"/>
      <c r="F37" s="318"/>
    </row>
    <row r="38" spans="1:14">
      <c r="A38" s="315"/>
      <c r="B38" s="316" t="s">
        <v>962</v>
      </c>
      <c r="C38" s="314">
        <v>12</v>
      </c>
      <c r="D38" s="317" t="s">
        <v>31</v>
      </c>
      <c r="E38" s="318" t="e">
        <f>E15</f>
        <v>#REF!</v>
      </c>
      <c r="F38" s="318" t="e">
        <f>E38*C38</f>
        <v>#REF!</v>
      </c>
    </row>
    <row r="39" spans="1:14">
      <c r="A39" s="315"/>
      <c r="B39" s="316" t="s">
        <v>963</v>
      </c>
      <c r="C39" s="314">
        <v>8</v>
      </c>
      <c r="D39" s="317" t="s">
        <v>31</v>
      </c>
      <c r="E39" s="318" t="e">
        <f>E14</f>
        <v>#REF!</v>
      </c>
      <c r="F39" s="318" t="e">
        <f>E39*C39</f>
        <v>#REF!</v>
      </c>
    </row>
    <row r="40" spans="1:14" ht="51">
      <c r="A40" s="315">
        <v>27</v>
      </c>
      <c r="B40" s="316" t="s">
        <v>964</v>
      </c>
      <c r="C40" s="314"/>
      <c r="D40" s="317"/>
      <c r="E40" s="318"/>
      <c r="F40" s="318"/>
    </row>
    <row r="41" spans="1:14">
      <c r="A41" s="315"/>
      <c r="B41" s="316" t="s">
        <v>965</v>
      </c>
      <c r="C41" s="314"/>
      <c r="D41" s="317"/>
      <c r="E41" s="318"/>
      <c r="F41" s="318"/>
    </row>
    <row r="42" spans="1:14">
      <c r="A42" s="315"/>
      <c r="B42" s="316" t="s">
        <v>962</v>
      </c>
      <c r="C42" s="314">
        <v>12</v>
      </c>
      <c r="D42" s="317" t="s">
        <v>31</v>
      </c>
      <c r="E42" s="318">
        <f>'P.H. Analysis'!F565</f>
        <v>109.2</v>
      </c>
      <c r="F42" s="318">
        <f>E42*C42</f>
        <v>1310.4000000000001</v>
      </c>
    </row>
    <row r="43" spans="1:14">
      <c r="A43" s="315"/>
      <c r="B43" s="316" t="s">
        <v>963</v>
      </c>
      <c r="C43" s="314">
        <v>8</v>
      </c>
      <c r="D43" s="317" t="s">
        <v>31</v>
      </c>
      <c r="E43" s="318">
        <f>'P.H. Analysis'!F581</f>
        <v>182</v>
      </c>
      <c r="F43" s="319">
        <f>E43*C43</f>
        <v>1456</v>
      </c>
    </row>
    <row r="44" spans="1:14">
      <c r="A44" s="17"/>
      <c r="E44" s="151" t="s">
        <v>117</v>
      </c>
      <c r="F44" s="151" t="e">
        <f>SUM(F5:F43)</f>
        <v>#REF!</v>
      </c>
    </row>
    <row r="47" spans="1:14">
      <c r="N47" s="151"/>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40" workbookViewId="0">
      <selection activeCell="J6" sqref="J6"/>
    </sheetView>
  </sheetViews>
  <sheetFormatPr defaultRowHeight="12.75"/>
  <cols>
    <col min="1" max="1" width="6.7109375" style="9" bestFit="1" customWidth="1"/>
    <col min="2" max="2" width="51" style="9" customWidth="1"/>
    <col min="3" max="3" width="5.5703125" style="160" bestFit="1" customWidth="1"/>
    <col min="4" max="4" width="5.28515625" style="160" bestFit="1" customWidth="1"/>
    <col min="5" max="5" width="10.140625" style="160" customWidth="1"/>
    <col min="6" max="6" width="12" style="160" customWidth="1"/>
    <col min="7" max="13" width="9.140625" style="9"/>
    <col min="14" max="14" width="9.5703125" style="9" bestFit="1" customWidth="1"/>
    <col min="15" max="16384" width="9.140625" style="9"/>
  </cols>
  <sheetData>
    <row r="1" spans="1:6" ht="29.25" customHeight="1">
      <c r="A1" s="1262" t="s">
        <v>927</v>
      </c>
      <c r="B1" s="1262"/>
      <c r="C1" s="1262"/>
      <c r="D1" s="1262"/>
      <c r="E1" s="1262"/>
      <c r="F1" s="1262"/>
    </row>
    <row r="2" spans="1:6">
      <c r="A2" s="303" t="s">
        <v>38</v>
      </c>
      <c r="B2" s="304"/>
      <c r="C2" s="305"/>
      <c r="D2" s="306"/>
      <c r="E2" s="305"/>
      <c r="F2" s="305"/>
    </row>
    <row r="3" spans="1:6">
      <c r="A3" s="307" t="s">
        <v>172</v>
      </c>
      <c r="B3" s="308" t="s">
        <v>19</v>
      </c>
      <c r="C3" s="163" t="s">
        <v>173</v>
      </c>
      <c r="D3" s="163" t="s">
        <v>21</v>
      </c>
      <c r="E3" s="163" t="s">
        <v>20</v>
      </c>
      <c r="F3" s="163" t="s">
        <v>22</v>
      </c>
    </row>
    <row r="4" spans="1:6">
      <c r="A4" s="309"/>
      <c r="B4" s="310"/>
      <c r="C4" s="311"/>
      <c r="D4" s="312"/>
      <c r="E4" s="311"/>
      <c r="F4" s="311"/>
    </row>
    <row r="5" spans="1:6" ht="127.5">
      <c r="A5" s="309">
        <v>1</v>
      </c>
      <c r="B5" s="156" t="s">
        <v>928</v>
      </c>
      <c r="C5" s="102">
        <v>2</v>
      </c>
      <c r="D5" s="102" t="s">
        <v>603</v>
      </c>
      <c r="E5" s="102" t="e">
        <f>'P.H. Analysis'!F63</f>
        <v>#REF!</v>
      </c>
      <c r="F5" s="102" t="e">
        <f t="shared" ref="F5:F32" si="0">E5*C5</f>
        <v>#REF!</v>
      </c>
    </row>
    <row r="6" spans="1:6" ht="89.25">
      <c r="A6" s="309">
        <v>2</v>
      </c>
      <c r="B6" s="156" t="s">
        <v>929</v>
      </c>
      <c r="C6" s="102">
        <v>2</v>
      </c>
      <c r="D6" s="102" t="s">
        <v>603</v>
      </c>
      <c r="E6" s="102" t="e">
        <f>'P.H. Analysis'!F147</f>
        <v>#REF!</v>
      </c>
      <c r="F6" s="102" t="e">
        <f t="shared" si="0"/>
        <v>#REF!</v>
      </c>
    </row>
    <row r="7" spans="1:6" ht="93" customHeight="1">
      <c r="A7" s="309">
        <v>3</v>
      </c>
      <c r="B7" s="156" t="s">
        <v>930</v>
      </c>
      <c r="C7" s="16">
        <v>4</v>
      </c>
      <c r="D7" s="102" t="s">
        <v>603</v>
      </c>
      <c r="E7" s="102" t="e">
        <f>'P.H. Analysis'!F166</f>
        <v>#REF!</v>
      </c>
      <c r="F7" s="102" t="e">
        <f t="shared" si="0"/>
        <v>#REF!</v>
      </c>
    </row>
    <row r="8" spans="1:6" ht="63.75">
      <c r="A8" s="309">
        <v>4</v>
      </c>
      <c r="B8" s="156" t="s">
        <v>931</v>
      </c>
      <c r="C8" s="16">
        <v>2</v>
      </c>
      <c r="D8" s="16" t="s">
        <v>603</v>
      </c>
      <c r="E8" s="16" t="e">
        <f>'P.H. Analysis'!F183</f>
        <v>#REF!</v>
      </c>
      <c r="F8" s="102" t="e">
        <f t="shared" si="0"/>
        <v>#REF!</v>
      </c>
    </row>
    <row r="9" spans="1:6" s="20" customFormat="1" ht="76.5">
      <c r="A9" s="309">
        <v>5</v>
      </c>
      <c r="B9" s="156" t="s">
        <v>932</v>
      </c>
      <c r="C9" s="16">
        <v>2</v>
      </c>
      <c r="D9" s="16" t="s">
        <v>603</v>
      </c>
      <c r="E9" s="16" t="e">
        <f>'P.H. Analysis'!F215</f>
        <v>#REF!</v>
      </c>
      <c r="F9" s="102" t="e">
        <f>E9*C9</f>
        <v>#REF!</v>
      </c>
    </row>
    <row r="10" spans="1:6" ht="76.5">
      <c r="A10" s="309">
        <v>6</v>
      </c>
      <c r="B10" s="156" t="s">
        <v>933</v>
      </c>
      <c r="C10" s="16">
        <v>2</v>
      </c>
      <c r="D10" s="16" t="s">
        <v>603</v>
      </c>
      <c r="E10" s="16" t="e">
        <f>'P.H. Analysis'!F232</f>
        <v>#REF!</v>
      </c>
      <c r="F10" s="102" t="e">
        <f t="shared" si="0"/>
        <v>#REF!</v>
      </c>
    </row>
    <row r="11" spans="1:6" ht="76.5">
      <c r="A11" s="309">
        <v>7</v>
      </c>
      <c r="B11" s="156" t="s">
        <v>934</v>
      </c>
      <c r="C11" s="16">
        <v>2</v>
      </c>
      <c r="D11" s="16" t="s">
        <v>603</v>
      </c>
      <c r="E11" s="16" t="e">
        <f>'P.H. Analysis'!F284</f>
        <v>#REF!</v>
      </c>
      <c r="F11" s="102" t="e">
        <f t="shared" si="0"/>
        <v>#REF!</v>
      </c>
    </row>
    <row r="12" spans="1:6" ht="76.5">
      <c r="A12" s="309">
        <v>9</v>
      </c>
      <c r="B12" s="156" t="s">
        <v>738</v>
      </c>
      <c r="C12" s="9"/>
      <c r="D12" s="9"/>
      <c r="E12" s="9"/>
      <c r="F12" s="9"/>
    </row>
    <row r="13" spans="1:6">
      <c r="A13" s="309" t="s">
        <v>475</v>
      </c>
      <c r="B13" s="156" t="s">
        <v>936</v>
      </c>
      <c r="C13" s="16">
        <v>15</v>
      </c>
      <c r="D13" s="16" t="s">
        <v>937</v>
      </c>
      <c r="E13" s="16" t="e">
        <f>'P.H. Analysis'!F314</f>
        <v>#REF!</v>
      </c>
      <c r="F13" s="102" t="e">
        <f>E13*C13</f>
        <v>#REF!</v>
      </c>
    </row>
    <row r="14" spans="1:6">
      <c r="A14" s="309" t="s">
        <v>476</v>
      </c>
      <c r="B14" s="156" t="s">
        <v>938</v>
      </c>
      <c r="C14" s="16">
        <v>45</v>
      </c>
      <c r="D14" s="16" t="s">
        <v>937</v>
      </c>
      <c r="E14" s="16" t="e">
        <f>'P.H. Analysis'!F333</f>
        <v>#REF!</v>
      </c>
      <c r="F14" s="102" t="e">
        <f>E14*C14</f>
        <v>#REF!</v>
      </c>
    </row>
    <row r="15" spans="1:6" s="313" customFormat="1" ht="51">
      <c r="A15" s="309">
        <v>10</v>
      </c>
      <c r="B15" s="156" t="s">
        <v>939</v>
      </c>
      <c r="C15" s="16">
        <v>8</v>
      </c>
      <c r="D15" s="16" t="s">
        <v>603</v>
      </c>
      <c r="E15" s="16">
        <f>'P.H. Analysis'!F336</f>
        <v>118.3</v>
      </c>
      <c r="F15" s="102">
        <f t="shared" si="0"/>
        <v>946.4</v>
      </c>
    </row>
    <row r="16" spans="1:6" s="313" customFormat="1" ht="51">
      <c r="A16" s="309">
        <v>11</v>
      </c>
      <c r="B16" s="156" t="s">
        <v>940</v>
      </c>
      <c r="C16" s="16">
        <v>4</v>
      </c>
      <c r="D16" s="16" t="s">
        <v>603</v>
      </c>
      <c r="E16" s="16">
        <f>'P.H. Analysis'!F337</f>
        <v>95.6</v>
      </c>
      <c r="F16" s="102">
        <f t="shared" si="0"/>
        <v>382.4</v>
      </c>
    </row>
    <row r="17" spans="1:6" s="313" customFormat="1" ht="15.75" customHeight="1">
      <c r="A17" s="309">
        <v>12</v>
      </c>
      <c r="B17" s="156" t="s">
        <v>941</v>
      </c>
      <c r="C17" s="16">
        <v>4</v>
      </c>
      <c r="D17" s="16" t="s">
        <v>603</v>
      </c>
      <c r="E17" s="16">
        <f>'P.H. Analysis'!F338</f>
        <v>97.4</v>
      </c>
      <c r="F17" s="102">
        <f t="shared" si="0"/>
        <v>389.6</v>
      </c>
    </row>
    <row r="18" spans="1:6" s="313" customFormat="1">
      <c r="A18" s="309">
        <v>13</v>
      </c>
      <c r="B18" s="156" t="s">
        <v>942</v>
      </c>
      <c r="C18" s="16">
        <v>2</v>
      </c>
      <c r="D18" s="16" t="s">
        <v>603</v>
      </c>
      <c r="E18" s="16">
        <f>'P.H. Analysis'!F339</f>
        <v>170.6</v>
      </c>
      <c r="F18" s="102">
        <f t="shared" si="0"/>
        <v>341.2</v>
      </c>
    </row>
    <row r="19" spans="1:6" s="313" customFormat="1">
      <c r="A19" s="309">
        <v>14</v>
      </c>
      <c r="B19" s="156" t="s">
        <v>943</v>
      </c>
      <c r="C19" s="16">
        <v>2</v>
      </c>
      <c r="D19" s="16" t="s">
        <v>603</v>
      </c>
      <c r="E19" s="16">
        <f>'P.H. Analysis'!F340</f>
        <v>200</v>
      </c>
      <c r="F19" s="102">
        <f t="shared" si="0"/>
        <v>400</v>
      </c>
    </row>
    <row r="20" spans="1:6" s="313" customFormat="1">
      <c r="A20" s="309">
        <v>15</v>
      </c>
      <c r="B20" s="156" t="s">
        <v>944</v>
      </c>
      <c r="C20" s="16">
        <v>2</v>
      </c>
      <c r="D20" s="16" t="s">
        <v>603</v>
      </c>
      <c r="E20" s="16">
        <f>'P.H. Analysis'!F341</f>
        <v>35.4</v>
      </c>
      <c r="F20" s="102">
        <f t="shared" si="0"/>
        <v>70.8</v>
      </c>
    </row>
    <row r="21" spans="1:6" ht="38.25">
      <c r="A21" s="309">
        <v>16</v>
      </c>
      <c r="B21" s="156" t="s">
        <v>945</v>
      </c>
      <c r="C21" s="16">
        <v>2</v>
      </c>
      <c r="D21" s="16" t="s">
        <v>603</v>
      </c>
      <c r="E21" s="16" t="e">
        <f>'P.H. Analysis'!F354</f>
        <v>#REF!</v>
      </c>
      <c r="F21" s="102" t="e">
        <f t="shared" si="0"/>
        <v>#REF!</v>
      </c>
    </row>
    <row r="22" spans="1:6" ht="76.5">
      <c r="A22" s="309">
        <v>17</v>
      </c>
      <c r="B22" s="156" t="s">
        <v>946</v>
      </c>
      <c r="C22" s="16">
        <v>2</v>
      </c>
      <c r="D22" s="16" t="s">
        <v>603</v>
      </c>
      <c r="E22" s="16">
        <f>'P.H. Analysis'!F359</f>
        <v>207.1</v>
      </c>
      <c r="F22" s="102">
        <f t="shared" si="0"/>
        <v>414.2</v>
      </c>
    </row>
    <row r="23" spans="1:6" ht="76.5">
      <c r="A23" s="309">
        <v>18</v>
      </c>
      <c r="B23" s="156" t="s">
        <v>947</v>
      </c>
      <c r="C23" s="16"/>
      <c r="D23" s="16"/>
      <c r="E23" s="16"/>
      <c r="F23" s="16"/>
    </row>
    <row r="24" spans="1:6">
      <c r="A24" s="309" t="s">
        <v>475</v>
      </c>
      <c r="B24" s="156" t="s">
        <v>948</v>
      </c>
      <c r="C24" s="16">
        <v>20</v>
      </c>
      <c r="D24" s="16" t="s">
        <v>937</v>
      </c>
      <c r="E24" s="16" t="e">
        <f>'P.H. Analysis'!F378</f>
        <v>#REF!</v>
      </c>
      <c r="F24" s="16" t="e">
        <f t="shared" si="0"/>
        <v>#REF!</v>
      </c>
    </row>
    <row r="25" spans="1:6">
      <c r="A25" s="309" t="s">
        <v>476</v>
      </c>
      <c r="B25" s="156" t="s">
        <v>949</v>
      </c>
      <c r="C25" s="16">
        <v>25</v>
      </c>
      <c r="D25" s="16" t="s">
        <v>937</v>
      </c>
      <c r="E25" s="16" t="e">
        <f>'P.H. Analysis'!F414</f>
        <v>#REF!</v>
      </c>
      <c r="F25" s="16" t="e">
        <f t="shared" si="0"/>
        <v>#REF!</v>
      </c>
    </row>
    <row r="26" spans="1:6">
      <c r="A26" s="309" t="s">
        <v>477</v>
      </c>
      <c r="B26" s="156" t="s">
        <v>950</v>
      </c>
      <c r="C26" s="16">
        <v>35</v>
      </c>
      <c r="D26" s="16" t="s">
        <v>937</v>
      </c>
      <c r="E26" s="16" t="e">
        <f>'P.H. Analysis'!F432</f>
        <v>#REF!</v>
      </c>
      <c r="F26" s="16" t="e">
        <f>E26*C26</f>
        <v>#REF!</v>
      </c>
    </row>
    <row r="27" spans="1:6">
      <c r="A27" s="309" t="s">
        <v>951</v>
      </c>
      <c r="B27" s="156" t="s">
        <v>952</v>
      </c>
      <c r="C27" s="16">
        <v>50</v>
      </c>
      <c r="D27" s="16" t="s">
        <v>937</v>
      </c>
      <c r="E27" s="16" t="e">
        <f>'P.H. Analysis'!F450</f>
        <v>#REF!</v>
      </c>
      <c r="F27" s="16" t="e">
        <f t="shared" si="0"/>
        <v>#REF!</v>
      </c>
    </row>
    <row r="28" spans="1:6" ht="76.5">
      <c r="A28" s="309">
        <v>19</v>
      </c>
      <c r="B28" s="156" t="s">
        <v>953</v>
      </c>
      <c r="C28" s="16">
        <v>2</v>
      </c>
      <c r="D28" s="16" t="s">
        <v>603</v>
      </c>
      <c r="E28" s="16" t="e">
        <f>'P.H. Analysis'!F468</f>
        <v>#REF!</v>
      </c>
      <c r="F28" s="102" t="e">
        <f t="shared" si="0"/>
        <v>#REF!</v>
      </c>
    </row>
    <row r="29" spans="1:6" ht="76.5">
      <c r="A29" s="309">
        <v>20</v>
      </c>
      <c r="B29" s="156" t="s">
        <v>954</v>
      </c>
      <c r="C29" s="16">
        <v>2</v>
      </c>
      <c r="D29" s="16" t="s">
        <v>603</v>
      </c>
      <c r="E29" s="16" t="e">
        <f>'P.H. Analysis'!F486</f>
        <v>#REF!</v>
      </c>
      <c r="F29" s="102" t="e">
        <f>E29*C29</f>
        <v>#REF!</v>
      </c>
    </row>
    <row r="30" spans="1:6" ht="76.5">
      <c r="A30" s="309">
        <v>21</v>
      </c>
      <c r="B30" s="156" t="s">
        <v>955</v>
      </c>
      <c r="C30" s="314">
        <v>6</v>
      </c>
      <c r="D30" s="314" t="s">
        <v>603</v>
      </c>
      <c r="E30" s="317" t="e">
        <f>'P.H. Analysis'!F503</f>
        <v>#REF!</v>
      </c>
      <c r="F30" s="314" t="e">
        <f t="shared" si="0"/>
        <v>#REF!</v>
      </c>
    </row>
    <row r="31" spans="1:6" s="313" customFormat="1" ht="51">
      <c r="A31" s="315">
        <v>22</v>
      </c>
      <c r="B31" s="316" t="s">
        <v>956</v>
      </c>
      <c r="C31" s="314">
        <v>2</v>
      </c>
      <c r="D31" s="314" t="s">
        <v>603</v>
      </c>
      <c r="E31" s="317" t="e">
        <f>'P.H. Analysis'!F537</f>
        <v>#REF!</v>
      </c>
      <c r="F31" s="314" t="e">
        <f t="shared" si="0"/>
        <v>#REF!</v>
      </c>
    </row>
    <row r="32" spans="1:6" s="313" customFormat="1" ht="127.5">
      <c r="A32" s="315">
        <v>23</v>
      </c>
      <c r="B32" s="316" t="s">
        <v>957</v>
      </c>
      <c r="C32" s="314">
        <v>1</v>
      </c>
      <c r="D32" s="314" t="s">
        <v>603</v>
      </c>
      <c r="E32" s="317" t="e">
        <f>'P.H. Analysis'!F555</f>
        <v>#REF!</v>
      </c>
      <c r="F32" s="314" t="e">
        <f t="shared" si="0"/>
        <v>#REF!</v>
      </c>
    </row>
    <row r="33" spans="1:6" s="313" customFormat="1" ht="51">
      <c r="A33" s="315">
        <v>24</v>
      </c>
      <c r="B33" s="316" t="s">
        <v>958</v>
      </c>
      <c r="C33" s="314"/>
      <c r="D33" s="314"/>
      <c r="E33" s="314"/>
      <c r="F33" s="314"/>
    </row>
    <row r="34" spans="1:6" s="313" customFormat="1">
      <c r="A34" s="315"/>
      <c r="B34" s="316" t="s">
        <v>959</v>
      </c>
      <c r="C34" s="314">
        <v>6</v>
      </c>
      <c r="D34" s="314" t="s">
        <v>24</v>
      </c>
      <c r="E34" s="317" t="e">
        <f>'P.H. Analysis'!F654</f>
        <v>#REF!</v>
      </c>
      <c r="F34" s="314" t="e">
        <f>C34*E34</f>
        <v>#REF!</v>
      </c>
    </row>
    <row r="35" spans="1:6" s="313" customFormat="1" ht="140.25">
      <c r="A35" s="315">
        <v>25</v>
      </c>
      <c r="B35" s="316" t="s">
        <v>960</v>
      </c>
      <c r="C35" s="314">
        <v>2</v>
      </c>
      <c r="D35" s="314" t="s">
        <v>409</v>
      </c>
      <c r="E35" s="317">
        <f>'P.H. Analysis'!F606</f>
        <v>853.2</v>
      </c>
      <c r="F35" s="314">
        <f>C35*E35</f>
        <v>1706.4</v>
      </c>
    </row>
    <row r="36" spans="1:6" s="313" customFormat="1" ht="127.5">
      <c r="A36" s="315">
        <v>26</v>
      </c>
      <c r="B36" s="320" t="s">
        <v>966</v>
      </c>
      <c r="C36" s="314"/>
      <c r="D36" s="314"/>
      <c r="E36" s="317"/>
      <c r="F36" s="314"/>
    </row>
    <row r="37" spans="1:6" s="313" customFormat="1" ht="25.5">
      <c r="A37" s="315"/>
      <c r="B37" s="316" t="s">
        <v>967</v>
      </c>
      <c r="C37" s="314">
        <v>3</v>
      </c>
      <c r="D37" s="314" t="s">
        <v>56</v>
      </c>
      <c r="E37" s="317" t="e">
        <f>'P.H. Analysis'!F681</f>
        <v>#REF!</v>
      </c>
      <c r="F37" s="317" t="e">
        <f>C37*E37</f>
        <v>#REF!</v>
      </c>
    </row>
    <row r="38" spans="1:6" s="313" customFormat="1" ht="127.5">
      <c r="A38" s="315">
        <v>27</v>
      </c>
      <c r="B38" s="321" t="s">
        <v>968</v>
      </c>
      <c r="C38" s="314">
        <v>1</v>
      </c>
      <c r="D38" s="314" t="s">
        <v>24</v>
      </c>
      <c r="E38" s="317">
        <f>'P.H. Analysis'!F829</f>
        <v>101286.02973333334</v>
      </c>
      <c r="F38" s="317">
        <f>C38*E38</f>
        <v>101286.02973333334</v>
      </c>
    </row>
    <row r="39" spans="1:6" s="313" customFormat="1" ht="140.25">
      <c r="A39" s="315">
        <v>28</v>
      </c>
      <c r="B39" s="321" t="s">
        <v>969</v>
      </c>
      <c r="C39" s="314">
        <v>1</v>
      </c>
      <c r="D39" s="314" t="s">
        <v>24</v>
      </c>
      <c r="E39" s="317">
        <f>'P.H. Analysis'!F695</f>
        <v>16911</v>
      </c>
      <c r="F39" s="317">
        <f>C39*E39</f>
        <v>16911</v>
      </c>
    </row>
    <row r="40" spans="1:6" s="313" customFormat="1" ht="63.75">
      <c r="A40" s="315">
        <v>29</v>
      </c>
      <c r="B40" s="156" t="s">
        <v>970</v>
      </c>
      <c r="C40" s="314">
        <v>2</v>
      </c>
      <c r="D40" s="314" t="s">
        <v>24</v>
      </c>
      <c r="E40" s="314">
        <v>35075</v>
      </c>
      <c r="F40" s="314">
        <f>E40*C40</f>
        <v>70150</v>
      </c>
    </row>
    <row r="41" spans="1:6" ht="120" customHeight="1">
      <c r="A41" s="315">
        <v>30</v>
      </c>
      <c r="B41" s="316" t="s">
        <v>961</v>
      </c>
      <c r="C41" s="314"/>
      <c r="D41" s="317"/>
      <c r="E41" s="318"/>
      <c r="F41" s="318"/>
    </row>
    <row r="42" spans="1:6">
      <c r="A42" s="315"/>
      <c r="B42" s="316" t="s">
        <v>962</v>
      </c>
      <c r="C42" s="314">
        <v>12</v>
      </c>
      <c r="D42" s="317" t="s">
        <v>31</v>
      </c>
      <c r="E42" s="318" t="e">
        <f>E14</f>
        <v>#REF!</v>
      </c>
      <c r="F42" s="318" t="e">
        <f>E42*C42</f>
        <v>#REF!</v>
      </c>
    </row>
    <row r="43" spans="1:6">
      <c r="A43" s="315"/>
      <c r="B43" s="316" t="s">
        <v>963</v>
      </c>
      <c r="C43" s="314">
        <v>8</v>
      </c>
      <c r="D43" s="317" t="s">
        <v>31</v>
      </c>
      <c r="E43" s="318" t="e">
        <f>E13</f>
        <v>#REF!</v>
      </c>
      <c r="F43" s="318" t="e">
        <f>E43*C43</f>
        <v>#REF!</v>
      </c>
    </row>
    <row r="44" spans="1:6" ht="51">
      <c r="A44" s="315">
        <v>31</v>
      </c>
      <c r="B44" s="316" t="s">
        <v>964</v>
      </c>
      <c r="C44" s="314"/>
      <c r="D44" s="317"/>
      <c r="E44" s="318"/>
      <c r="F44" s="318"/>
    </row>
    <row r="45" spans="1:6">
      <c r="A45" s="315"/>
      <c r="B45" s="316" t="s">
        <v>965</v>
      </c>
      <c r="C45" s="314"/>
      <c r="D45" s="317"/>
      <c r="E45" s="318"/>
      <c r="F45" s="318"/>
    </row>
    <row r="46" spans="1:6">
      <c r="A46" s="315"/>
      <c r="B46" s="316" t="s">
        <v>962</v>
      </c>
      <c r="C46" s="314">
        <v>12</v>
      </c>
      <c r="D46" s="317" t="s">
        <v>31</v>
      </c>
      <c r="E46" s="318">
        <f>'P.H. Analysis'!F565</f>
        <v>109.2</v>
      </c>
      <c r="F46" s="318">
        <f>E46*C46</f>
        <v>1310.4000000000001</v>
      </c>
    </row>
    <row r="47" spans="1:6">
      <c r="A47" s="315"/>
      <c r="B47" s="316" t="s">
        <v>963</v>
      </c>
      <c r="C47" s="314">
        <v>8</v>
      </c>
      <c r="D47" s="317" t="s">
        <v>31</v>
      </c>
      <c r="E47" s="318">
        <f>'P.H. Analysis'!F581</f>
        <v>182</v>
      </c>
      <c r="F47" s="319">
        <f>E47*C47</f>
        <v>1456</v>
      </c>
    </row>
    <row r="48" spans="1:6">
      <c r="A48" s="17"/>
      <c r="E48" s="151" t="s">
        <v>117</v>
      </c>
      <c r="F48" s="151" t="e">
        <f>SUM(F5:F47)</f>
        <v>#REF!</v>
      </c>
    </row>
    <row r="51" spans="14:14">
      <c r="N51" s="151"/>
    </row>
  </sheetData>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69" workbookViewId="0">
      <selection activeCell="B44" sqref="B44:B50"/>
    </sheetView>
  </sheetViews>
  <sheetFormatPr defaultRowHeight="12.75"/>
  <cols>
    <col min="1" max="1" width="7" customWidth="1"/>
    <col min="2" max="2" width="52.28515625" customWidth="1"/>
    <col min="5" max="5" width="11.7109375" bestFit="1" customWidth="1"/>
    <col min="6" max="6" width="11.42578125" bestFit="1" customWidth="1"/>
  </cols>
  <sheetData>
    <row r="1" spans="1:6" ht="15.75">
      <c r="A1" s="1263" t="s">
        <v>971</v>
      </c>
      <c r="B1" s="1263"/>
      <c r="C1" s="1263"/>
      <c r="D1" s="1263"/>
      <c r="E1" s="1263"/>
      <c r="F1" s="1263"/>
    </row>
    <row r="2" spans="1:6" ht="18">
      <c r="A2" s="322"/>
      <c r="B2" s="322"/>
      <c r="C2" s="322"/>
      <c r="D2" s="322"/>
      <c r="E2" s="323"/>
      <c r="F2" s="322"/>
    </row>
    <row r="3" spans="1:6" ht="16.5">
      <c r="A3" s="192" t="s">
        <v>37</v>
      </c>
      <c r="B3" s="324" t="s">
        <v>403</v>
      </c>
      <c r="C3" s="325"/>
      <c r="D3" s="325"/>
      <c r="E3" s="178"/>
      <c r="F3" s="325"/>
    </row>
    <row r="4" spans="1:6" ht="21" customHeight="1">
      <c r="A4" s="326" t="s">
        <v>172</v>
      </c>
      <c r="B4" s="326" t="s">
        <v>19</v>
      </c>
      <c r="C4" s="326" t="s">
        <v>173</v>
      </c>
      <c r="D4" s="326" t="s">
        <v>21</v>
      </c>
      <c r="E4" s="327" t="s">
        <v>20</v>
      </c>
      <c r="F4" s="326" t="s">
        <v>22</v>
      </c>
    </row>
    <row r="5" spans="1:6" ht="63.75">
      <c r="A5" s="126">
        <v>1</v>
      </c>
      <c r="B5" s="156" t="s">
        <v>495</v>
      </c>
      <c r="C5" s="185">
        <f>'Boating complex(Qnty)'!D5</f>
        <v>8</v>
      </c>
      <c r="D5" s="55" t="s">
        <v>64</v>
      </c>
      <c r="E5" s="184" t="e">
        <f>ANALYSIS!#REF!</f>
        <v>#REF!</v>
      </c>
      <c r="F5" s="184" t="e">
        <f>E5*C5</f>
        <v>#REF!</v>
      </c>
    </row>
    <row r="6" spans="1:6">
      <c r="A6" s="126"/>
      <c r="B6" s="156"/>
      <c r="C6" s="180"/>
      <c r="D6" s="55"/>
      <c r="E6" s="102"/>
      <c r="F6" s="102"/>
    </row>
    <row r="7" spans="1:6" ht="25.5">
      <c r="A7" s="126" t="s">
        <v>467</v>
      </c>
      <c r="B7" s="183" t="s">
        <v>496</v>
      </c>
      <c r="C7" s="185">
        <f>C5+2</f>
        <v>10</v>
      </c>
      <c r="D7" s="55" t="s">
        <v>64</v>
      </c>
      <c r="E7" s="184" t="e">
        <f>ANALYSIS!#REF!</f>
        <v>#REF!</v>
      </c>
      <c r="F7" s="184" t="e">
        <f>E7*C7</f>
        <v>#REF!</v>
      </c>
    </row>
    <row r="8" spans="1:6">
      <c r="A8" s="126"/>
      <c r="B8" s="183"/>
      <c r="C8" s="185"/>
      <c r="D8" s="55"/>
      <c r="E8" s="55"/>
      <c r="F8" s="184"/>
    </row>
    <row r="9" spans="1:6" ht="25.5">
      <c r="A9" s="126" t="s">
        <v>468</v>
      </c>
      <c r="B9" s="183" t="s">
        <v>497</v>
      </c>
      <c r="C9" s="185">
        <f>8+2</f>
        <v>10</v>
      </c>
      <c r="D9" s="55" t="s">
        <v>64</v>
      </c>
      <c r="E9" s="184" t="e">
        <f>ANALYSIS!#REF!</f>
        <v>#REF!</v>
      </c>
      <c r="F9" s="184" t="e">
        <f>E9*C9</f>
        <v>#REF!</v>
      </c>
    </row>
    <row r="10" spans="1:6">
      <c r="A10" s="328"/>
      <c r="B10" s="328"/>
      <c r="C10" s="328"/>
      <c r="D10" s="328"/>
      <c r="E10" s="329"/>
      <c r="F10" s="328"/>
    </row>
    <row r="11" spans="1:6" ht="61.5" customHeight="1">
      <c r="A11" s="101">
        <v>2</v>
      </c>
      <c r="B11" s="156" t="s">
        <v>427</v>
      </c>
      <c r="C11" s="102">
        <f>'Boating complex(Qnty)'!H11</f>
        <v>61.856250000000003</v>
      </c>
      <c r="D11" s="100" t="s">
        <v>25</v>
      </c>
      <c r="E11" s="102">
        <f>ANALYSIS!F16</f>
        <v>89.2</v>
      </c>
      <c r="F11" s="250">
        <f>E11*C11</f>
        <v>5517.5775000000003</v>
      </c>
    </row>
    <row r="12" spans="1:6">
      <c r="A12" s="101"/>
      <c r="B12" s="156"/>
      <c r="C12" s="102"/>
      <c r="D12" s="100"/>
      <c r="E12" s="102"/>
      <c r="F12" s="250"/>
    </row>
    <row r="13" spans="1:6" ht="102">
      <c r="A13" s="101">
        <v>3</v>
      </c>
      <c r="B13" s="316" t="s">
        <v>405</v>
      </c>
      <c r="C13" s="102">
        <f>'Boating complex(Qnty)'!H25</f>
        <v>3.7619999999999996</v>
      </c>
      <c r="D13" s="100" t="s">
        <v>25</v>
      </c>
      <c r="E13" s="102">
        <f>ANALYSIS!F45</f>
        <v>275.60000000000002</v>
      </c>
      <c r="F13" s="250">
        <f>E13*C13</f>
        <v>1036.8072</v>
      </c>
    </row>
    <row r="14" spans="1:6">
      <c r="A14" s="101"/>
      <c r="B14" s="316"/>
      <c r="C14" s="102"/>
      <c r="D14" s="100"/>
      <c r="E14" s="102"/>
      <c r="F14" s="250"/>
    </row>
    <row r="15" spans="1:6" ht="25.5">
      <c r="A15" s="101">
        <v>4</v>
      </c>
      <c r="B15" s="316" t="s">
        <v>972</v>
      </c>
      <c r="C15" s="102">
        <f>C11/3</f>
        <v>20.618750000000002</v>
      </c>
      <c r="D15" s="100" t="s">
        <v>25</v>
      </c>
      <c r="E15" s="250">
        <f>ANALYSIS!F22</f>
        <v>49.6</v>
      </c>
      <c r="F15" s="250">
        <f>E15*C15</f>
        <v>1022.6900000000002</v>
      </c>
    </row>
    <row r="16" spans="1:6">
      <c r="A16" s="101"/>
      <c r="B16" s="316"/>
      <c r="C16" s="102"/>
      <c r="D16" s="100"/>
      <c r="E16" s="250"/>
      <c r="F16" s="250"/>
    </row>
    <row r="17" spans="1:6" ht="30" customHeight="1">
      <c r="A17" s="101">
        <v>5</v>
      </c>
      <c r="B17" s="156" t="s">
        <v>464</v>
      </c>
      <c r="C17" s="180">
        <f>'Boating complex(Qnty)'!H16</f>
        <v>4.7789999999999999</v>
      </c>
      <c r="D17" s="180" t="s">
        <v>25</v>
      </c>
      <c r="E17" s="250">
        <f>ANALYSIS!F30</f>
        <v>232.3</v>
      </c>
      <c r="F17" s="250">
        <f>E17*C17</f>
        <v>1110.1617000000001</v>
      </c>
    </row>
    <row r="18" spans="1:6">
      <c r="A18" s="101"/>
      <c r="B18" s="156"/>
      <c r="C18" s="180"/>
      <c r="D18" s="180"/>
      <c r="E18" s="250"/>
      <c r="F18" s="250"/>
    </row>
    <row r="19" spans="1:6" ht="63.75">
      <c r="A19" s="101">
        <v>6</v>
      </c>
      <c r="B19" s="316" t="s">
        <v>406</v>
      </c>
      <c r="C19" s="102">
        <f>'Boating complex(Qnty)'!H34</f>
        <v>5.1690000000000005</v>
      </c>
      <c r="D19" s="100" t="s">
        <v>25</v>
      </c>
      <c r="E19" s="250">
        <f>ANALYSIS!F127</f>
        <v>4044.7</v>
      </c>
      <c r="F19" s="250">
        <f>E19*C19</f>
        <v>20907.0543</v>
      </c>
    </row>
    <row r="20" spans="1:6">
      <c r="A20" s="101"/>
      <c r="B20" s="316"/>
      <c r="C20" s="102"/>
      <c r="D20" s="100"/>
      <c r="E20" s="250"/>
      <c r="F20" s="250"/>
    </row>
    <row r="21" spans="1:6" ht="51">
      <c r="A21" s="101">
        <v>7</v>
      </c>
      <c r="B21" s="316" t="s">
        <v>485</v>
      </c>
      <c r="C21" s="102"/>
      <c r="D21" s="100"/>
      <c r="E21" s="102"/>
      <c r="F21" s="250"/>
    </row>
    <row r="22" spans="1:6">
      <c r="A22" s="101" t="s">
        <v>424</v>
      </c>
      <c r="B22" s="330" t="s">
        <v>486</v>
      </c>
      <c r="C22" s="102"/>
      <c r="D22" s="100"/>
      <c r="E22" s="102"/>
      <c r="F22" s="250"/>
    </row>
    <row r="23" spans="1:6">
      <c r="A23" s="157" t="s">
        <v>475</v>
      </c>
      <c r="B23" s="331" t="s">
        <v>973</v>
      </c>
      <c r="C23" s="102">
        <f>'Boating complex(Qnty)'!H40</f>
        <v>3.8880000000000003</v>
      </c>
      <c r="D23" s="100" t="s">
        <v>25</v>
      </c>
      <c r="E23" s="102" t="e">
        <f>ANALYSIS!#REF!</f>
        <v>#REF!</v>
      </c>
      <c r="F23" s="250" t="e">
        <f>E23*C23</f>
        <v>#REF!</v>
      </c>
    </row>
    <row r="24" spans="1:6">
      <c r="A24" s="157" t="s">
        <v>476</v>
      </c>
      <c r="B24" s="331" t="s">
        <v>488</v>
      </c>
      <c r="C24" s="102">
        <f>'Boating complex(Qnty)'!H51</f>
        <v>0.82500000000000007</v>
      </c>
      <c r="D24" s="100" t="s">
        <v>25</v>
      </c>
      <c r="E24" s="102" t="e">
        <f>ANALYSIS!#REF!</f>
        <v>#REF!</v>
      </c>
      <c r="F24" s="250" t="e">
        <f>E24*C24</f>
        <v>#REF!</v>
      </c>
    </row>
    <row r="25" spans="1:6">
      <c r="A25" s="157" t="s">
        <v>477</v>
      </c>
      <c r="B25" s="331" t="s">
        <v>594</v>
      </c>
      <c r="C25" s="102">
        <f>'Boating complex(Qnty)'!H49</f>
        <v>2.32125</v>
      </c>
      <c r="D25" s="100" t="s">
        <v>25</v>
      </c>
      <c r="E25" s="102" t="e">
        <f>ANALYSIS!#REF!</f>
        <v>#REF!</v>
      </c>
      <c r="F25" s="250" t="e">
        <f>E25*C25</f>
        <v>#REF!</v>
      </c>
    </row>
    <row r="26" spans="1:6">
      <c r="A26" s="157" t="s">
        <v>478</v>
      </c>
      <c r="B26" s="331" t="s">
        <v>416</v>
      </c>
      <c r="C26" s="102">
        <f>'Boating complex(Qnty)'!H45</f>
        <v>2.7081249999999999</v>
      </c>
      <c r="D26" s="100" t="s">
        <v>25</v>
      </c>
      <c r="E26" s="102" t="e">
        <f>E25</f>
        <v>#REF!</v>
      </c>
      <c r="F26" s="250" t="e">
        <f>E26*C26</f>
        <v>#REF!</v>
      </c>
    </row>
    <row r="27" spans="1:6">
      <c r="A27" s="101" t="s">
        <v>425</v>
      </c>
      <c r="B27" s="330" t="s">
        <v>489</v>
      </c>
      <c r="C27" s="102"/>
      <c r="D27" s="100"/>
      <c r="E27" s="102"/>
      <c r="F27" s="250"/>
    </row>
    <row r="28" spans="1:6">
      <c r="A28" s="157" t="s">
        <v>475</v>
      </c>
      <c r="B28" s="331" t="s">
        <v>490</v>
      </c>
      <c r="C28" s="102">
        <f>'Boating complex(Qnty)'!H54</f>
        <v>2.25</v>
      </c>
      <c r="D28" s="100" t="s">
        <v>25</v>
      </c>
      <c r="E28" s="102" t="e">
        <f>ANALYSIS!#REF!</f>
        <v>#REF!</v>
      </c>
      <c r="F28" s="250" t="e">
        <f t="shared" ref="F28:F40" si="0">E28*C28</f>
        <v>#REF!</v>
      </c>
    </row>
    <row r="29" spans="1:6">
      <c r="A29" s="157" t="s">
        <v>476</v>
      </c>
      <c r="B29" s="331" t="s">
        <v>460</v>
      </c>
      <c r="C29" s="102">
        <f>'Boating complex(Qnty)'!H68</f>
        <v>2.996</v>
      </c>
      <c r="D29" s="100" t="s">
        <v>25</v>
      </c>
      <c r="E29" s="102" t="e">
        <f>ANALYSIS!#REF!</f>
        <v>#REF!</v>
      </c>
      <c r="F29" s="250" t="e">
        <f t="shared" si="0"/>
        <v>#REF!</v>
      </c>
    </row>
    <row r="30" spans="1:6">
      <c r="A30" s="157" t="s">
        <v>477</v>
      </c>
      <c r="B30" s="331" t="s">
        <v>974</v>
      </c>
      <c r="C30" s="102">
        <f>'Boating complex(Qnty)'!H71</f>
        <v>3.1872000000000003</v>
      </c>
      <c r="D30" s="100" t="s">
        <v>25</v>
      </c>
      <c r="E30" s="102">
        <f>ANALYSIS!F574</f>
        <v>780</v>
      </c>
      <c r="F30" s="250">
        <f t="shared" si="0"/>
        <v>2486.0160000000001</v>
      </c>
    </row>
    <row r="31" spans="1:6">
      <c r="A31" s="157" t="s">
        <v>478</v>
      </c>
      <c r="B31" s="331" t="s">
        <v>651</v>
      </c>
      <c r="C31" s="102">
        <f>'Boating complex(Qnty)'!H61</f>
        <v>0.70687500000000003</v>
      </c>
      <c r="D31" s="100" t="s">
        <v>25</v>
      </c>
      <c r="E31" s="102" t="e">
        <f>ANALYSIS!#REF!</f>
        <v>#REF!</v>
      </c>
      <c r="F31" s="250" t="e">
        <f t="shared" si="0"/>
        <v>#REF!</v>
      </c>
    </row>
    <row r="32" spans="1:6">
      <c r="A32" s="157" t="s">
        <v>479</v>
      </c>
      <c r="B32" s="331" t="s">
        <v>975</v>
      </c>
      <c r="C32" s="102">
        <f>'Boating complex(Qnty)'!H63</f>
        <v>0.16200000000000003</v>
      </c>
      <c r="D32" s="100" t="s">
        <v>32</v>
      </c>
      <c r="E32" s="102">
        <f>[3]Estimate!$E$142</f>
        <v>7492.6</v>
      </c>
      <c r="F32" s="250">
        <f t="shared" si="0"/>
        <v>1213.8012000000003</v>
      </c>
    </row>
    <row r="33" spans="1:6">
      <c r="A33" s="157"/>
      <c r="B33" s="331"/>
      <c r="C33" s="102"/>
      <c r="D33" s="100"/>
      <c r="E33" s="102"/>
      <c r="F33" s="250"/>
    </row>
    <row r="34" spans="1:6" ht="51">
      <c r="A34" s="101">
        <v>8</v>
      </c>
      <c r="B34" s="332" t="s">
        <v>976</v>
      </c>
      <c r="C34" s="102">
        <f>'Boating complex(Qnty)'!H74</f>
        <v>27.792539999999999</v>
      </c>
      <c r="D34" s="100" t="s">
        <v>69</v>
      </c>
      <c r="E34" s="182">
        <f>ANALYSIS!F618</f>
        <v>109.2</v>
      </c>
      <c r="F34" s="250">
        <f t="shared" si="0"/>
        <v>3034.9453680000001</v>
      </c>
    </row>
    <row r="35" spans="1:6">
      <c r="A35" s="101"/>
      <c r="B35" s="332"/>
      <c r="C35" s="102"/>
      <c r="D35" s="100"/>
      <c r="E35" s="102"/>
      <c r="F35" s="250"/>
    </row>
    <row r="36" spans="1:6" ht="165.75">
      <c r="A36" s="101">
        <v>9</v>
      </c>
      <c r="B36" s="316" t="s">
        <v>977</v>
      </c>
      <c r="C36" s="102">
        <f>'Boating complex(Qnty)'!H80/2</f>
        <v>5.3617979249999985</v>
      </c>
      <c r="D36" s="100" t="s">
        <v>25</v>
      </c>
      <c r="E36" s="182">
        <f>[4]ABSTRACT!$E$111</f>
        <v>3671.9</v>
      </c>
      <c r="F36" s="250">
        <f t="shared" si="0"/>
        <v>19687.985800807495</v>
      </c>
    </row>
    <row r="37" spans="1:6">
      <c r="A37" s="101"/>
      <c r="B37" s="316"/>
      <c r="C37" s="102"/>
      <c r="D37" s="100"/>
      <c r="E37" s="102"/>
      <c r="F37" s="250"/>
    </row>
    <row r="38" spans="1:6" ht="51">
      <c r="A38" s="101">
        <v>10</v>
      </c>
      <c r="B38" s="316" t="s">
        <v>1005</v>
      </c>
      <c r="C38" s="102">
        <f>'Boating complex(Qnty)'!H80/2</f>
        <v>5.3617979249999985</v>
      </c>
      <c r="D38" s="100" t="s">
        <v>25</v>
      </c>
      <c r="E38" s="102" t="e">
        <f>ANALYSIS!#REF!</f>
        <v>#REF!</v>
      </c>
      <c r="F38" s="250" t="e">
        <f>E38*C38</f>
        <v>#REF!</v>
      </c>
    </row>
    <row r="39" spans="1:6">
      <c r="A39" s="101"/>
      <c r="B39" s="316"/>
      <c r="C39" s="102"/>
      <c r="D39" s="100"/>
      <c r="E39" s="102"/>
      <c r="F39" s="250"/>
    </row>
    <row r="40" spans="1:6" ht="140.25">
      <c r="A40" s="101">
        <v>11</v>
      </c>
      <c r="B40" s="316" t="s">
        <v>978</v>
      </c>
      <c r="C40" s="102">
        <f>'Boating complex(Qnty)'!H97/2</f>
        <v>10.906874999999998</v>
      </c>
      <c r="D40" s="100" t="s">
        <v>25</v>
      </c>
      <c r="E40" s="100">
        <f>[5]ANALYSIS!F556</f>
        <v>3815.7</v>
      </c>
      <c r="F40" s="250">
        <f t="shared" si="0"/>
        <v>41617.362937499987</v>
      </c>
    </row>
    <row r="41" spans="1:6">
      <c r="A41" s="101"/>
      <c r="B41" s="316"/>
      <c r="C41" s="102"/>
      <c r="D41" s="100"/>
      <c r="E41" s="102"/>
      <c r="F41" s="250"/>
    </row>
    <row r="42" spans="1:6" ht="51">
      <c r="A42" s="101">
        <v>12</v>
      </c>
      <c r="B42" s="316" t="s">
        <v>1006</v>
      </c>
      <c r="C42" s="102">
        <f>'Boating complex(Qnty)'!H97/2</f>
        <v>10.906874999999998</v>
      </c>
      <c r="D42" s="100" t="s">
        <v>25</v>
      </c>
      <c r="E42" s="102" t="e">
        <f>ANALYSIS!#REF!</f>
        <v>#REF!</v>
      </c>
      <c r="F42" s="250" t="e">
        <f>E42*C42</f>
        <v>#REF!</v>
      </c>
    </row>
    <row r="43" spans="1:6">
      <c r="A43" s="101"/>
      <c r="B43" s="316"/>
      <c r="C43" s="102"/>
      <c r="D43" s="100"/>
      <c r="E43" s="102"/>
      <c r="F43" s="250"/>
    </row>
    <row r="44" spans="1:6" ht="51">
      <c r="A44" s="101">
        <v>13</v>
      </c>
      <c r="B44" s="333" t="s">
        <v>59</v>
      </c>
      <c r="C44" s="102">
        <f>'Boating complex(Qnty)'!H150</f>
        <v>36.764999999999993</v>
      </c>
      <c r="D44" s="334" t="s">
        <v>32</v>
      </c>
      <c r="E44" s="102">
        <f>ANALYSIS!F933</f>
        <v>432</v>
      </c>
      <c r="F44" s="250">
        <f t="shared" ref="F44:F54" si="1">E44*C44</f>
        <v>15882.479999999998</v>
      </c>
    </row>
    <row r="45" spans="1:6">
      <c r="A45" s="101"/>
      <c r="B45" s="333"/>
      <c r="C45" s="102"/>
      <c r="D45" s="334"/>
      <c r="E45" s="102"/>
      <c r="F45" s="250"/>
    </row>
    <row r="46" spans="1:6" ht="63.75">
      <c r="A46" s="101">
        <v>14</v>
      </c>
      <c r="B46" s="333" t="s">
        <v>160</v>
      </c>
      <c r="C46" s="102">
        <f>'Boating complex(Qnty)'!H154</f>
        <v>6.0720000000000001</v>
      </c>
      <c r="D46" s="334" t="s">
        <v>32</v>
      </c>
      <c r="E46" s="102">
        <f>ANALYSIS!F901</f>
        <v>387</v>
      </c>
      <c r="F46" s="250">
        <f t="shared" si="1"/>
        <v>2349.864</v>
      </c>
    </row>
    <row r="47" spans="1:6">
      <c r="A47" s="101"/>
      <c r="B47" s="333"/>
      <c r="C47" s="102"/>
      <c r="D47" s="334"/>
      <c r="E47" s="102"/>
      <c r="F47" s="250"/>
    </row>
    <row r="48" spans="1:6" ht="165.75">
      <c r="A48" s="101">
        <v>15</v>
      </c>
      <c r="B48" s="181" t="s">
        <v>979</v>
      </c>
      <c r="C48" s="102">
        <f>'Boating complex(Qnty)'!H161</f>
        <v>19.015000000000001</v>
      </c>
      <c r="D48" s="54" t="s">
        <v>32</v>
      </c>
      <c r="E48" s="102">
        <f>ANALYSIS!F968</f>
        <v>275.65500000000003</v>
      </c>
      <c r="F48" s="250">
        <f t="shared" si="1"/>
        <v>5241.5798250000007</v>
      </c>
    </row>
    <row r="49" spans="1:6">
      <c r="A49" s="101"/>
      <c r="B49" s="181"/>
      <c r="C49" s="102"/>
      <c r="D49" s="54"/>
      <c r="E49" s="102"/>
      <c r="F49" s="250"/>
    </row>
    <row r="50" spans="1:6" ht="191.25">
      <c r="A50" s="101">
        <v>16</v>
      </c>
      <c r="B50" s="316" t="s">
        <v>980</v>
      </c>
      <c r="C50" s="102">
        <f>'Boating complex(Qnty)'!H167</f>
        <v>5.1659999999999995</v>
      </c>
      <c r="D50" s="100" t="s">
        <v>836</v>
      </c>
      <c r="E50" s="102">
        <f>ANALYSIS!F538</f>
        <v>0</v>
      </c>
      <c r="F50" s="250">
        <f t="shared" si="1"/>
        <v>0</v>
      </c>
    </row>
    <row r="51" spans="1:6">
      <c r="A51" s="101"/>
      <c r="B51" s="316"/>
      <c r="C51" s="102"/>
      <c r="D51" s="100"/>
      <c r="E51" s="102"/>
      <c r="F51" s="250"/>
    </row>
    <row r="52" spans="1:6" ht="89.25">
      <c r="A52" s="101">
        <v>17</v>
      </c>
      <c r="B52" s="335" t="s">
        <v>981</v>
      </c>
      <c r="C52" s="102">
        <f>'Boating complex(Qnty)'!H176</f>
        <v>2.16</v>
      </c>
      <c r="D52" s="100" t="s">
        <v>32</v>
      </c>
      <c r="E52" s="336">
        <f>[4]ABSTRACT!$E$119</f>
        <v>2995.9</v>
      </c>
      <c r="F52" s="250">
        <f t="shared" si="1"/>
        <v>6471.1440000000002</v>
      </c>
    </row>
    <row r="53" spans="1:6">
      <c r="A53" s="101"/>
      <c r="B53" s="335"/>
      <c r="C53" s="102"/>
      <c r="D53" s="100"/>
      <c r="E53" s="250"/>
      <c r="F53" s="250"/>
    </row>
    <row r="54" spans="1:6" ht="141" customHeight="1">
      <c r="A54" s="101">
        <v>18</v>
      </c>
      <c r="B54" s="335" t="s">
        <v>982</v>
      </c>
      <c r="C54" s="102">
        <f>'Boating complex(Qnty)'!H175</f>
        <v>3.5999999999999996</v>
      </c>
      <c r="D54" s="100" t="s">
        <v>32</v>
      </c>
      <c r="E54" s="336">
        <f>[3]Estimate!$E$181</f>
        <v>3465.1</v>
      </c>
      <c r="F54" s="250">
        <f t="shared" si="1"/>
        <v>12474.359999999999</v>
      </c>
    </row>
    <row r="55" spans="1:6">
      <c r="A55" s="101"/>
      <c r="B55" s="337"/>
      <c r="C55" s="102"/>
      <c r="D55" s="100"/>
      <c r="E55" s="250"/>
      <c r="F55" s="250"/>
    </row>
    <row r="56" spans="1:6" ht="127.5">
      <c r="A56" s="101">
        <v>19</v>
      </c>
      <c r="B56" s="156" t="s">
        <v>983</v>
      </c>
      <c r="C56" s="102">
        <f>'Boating complex(Qnty)'!H121</f>
        <v>154.68</v>
      </c>
      <c r="D56" s="100" t="s">
        <v>32</v>
      </c>
      <c r="E56" s="102">
        <f>ANALYSIS!F682</f>
        <v>2.9808000000000003</v>
      </c>
      <c r="F56" s="250">
        <f>E56*C56</f>
        <v>461.07014400000008</v>
      </c>
    </row>
    <row r="57" spans="1:6">
      <c r="A57" s="101"/>
      <c r="B57" s="156"/>
      <c r="C57" s="102"/>
      <c r="D57" s="100"/>
      <c r="E57" s="102"/>
      <c r="F57" s="250"/>
    </row>
    <row r="58" spans="1:6" ht="127.5">
      <c r="A58" s="101">
        <v>20</v>
      </c>
      <c r="B58" s="156" t="s">
        <v>984</v>
      </c>
      <c r="C58" s="54">
        <f>'Boating complex(Qnty)'!H133</f>
        <v>63.354999999999997</v>
      </c>
      <c r="D58" s="100" t="s">
        <v>32</v>
      </c>
      <c r="E58" s="102">
        <f>ANALYSIS!F702</f>
        <v>545.1</v>
      </c>
      <c r="F58" s="250">
        <f>E58*C58</f>
        <v>34534.8105</v>
      </c>
    </row>
    <row r="59" spans="1:6">
      <c r="A59" s="101"/>
      <c r="B59" s="156"/>
      <c r="C59" s="54"/>
      <c r="D59" s="100"/>
      <c r="E59" s="102"/>
      <c r="F59" s="250"/>
    </row>
    <row r="60" spans="1:6" ht="153">
      <c r="A60" s="101">
        <v>21</v>
      </c>
      <c r="B60" s="156" t="s">
        <v>985</v>
      </c>
      <c r="C60" s="102">
        <f>'Boating complex(Qnty)'!H100</f>
        <v>23.87</v>
      </c>
      <c r="D60" s="100" t="s">
        <v>32</v>
      </c>
      <c r="E60" s="102">
        <f>ANALYSIS!F662</f>
        <v>0</v>
      </c>
      <c r="F60" s="250">
        <f>E60*C60</f>
        <v>0</v>
      </c>
    </row>
    <row r="61" spans="1:6">
      <c r="A61" s="101"/>
      <c r="B61" s="156"/>
      <c r="C61" s="102"/>
      <c r="D61" s="100"/>
      <c r="E61" s="102"/>
      <c r="F61" s="250"/>
    </row>
    <row r="62" spans="1:6" ht="165.75">
      <c r="A62" s="101">
        <v>22</v>
      </c>
      <c r="B62" s="156" t="s">
        <v>986</v>
      </c>
      <c r="C62" s="102">
        <f>'Boating complex(Qnty)'!H135</f>
        <v>31.872</v>
      </c>
      <c r="D62" s="100" t="s">
        <v>32</v>
      </c>
      <c r="E62" s="102">
        <f>ANALYSIS!F867</f>
        <v>3196.7700000000004</v>
      </c>
      <c r="F62" s="250">
        <f>E62*C62</f>
        <v>101887.45344000001</v>
      </c>
    </row>
    <row r="63" spans="1:6">
      <c r="A63" s="101"/>
      <c r="B63" s="156"/>
      <c r="C63" s="102"/>
      <c r="D63" s="100"/>
      <c r="E63" s="102"/>
      <c r="F63" s="250"/>
    </row>
    <row r="64" spans="1:6" ht="102">
      <c r="A64" s="101">
        <v>23</v>
      </c>
      <c r="B64" s="156" t="s">
        <v>990</v>
      </c>
      <c r="C64" s="102">
        <f>'Boating complex(Qnty)'!H170</f>
        <v>8.4</v>
      </c>
      <c r="D64" s="54" t="s">
        <v>32</v>
      </c>
      <c r="E64" s="102">
        <f>ANALYSIS!F825</f>
        <v>0</v>
      </c>
      <c r="F64" s="250">
        <f>E64*C64</f>
        <v>0</v>
      </c>
    </row>
    <row r="65" spans="1:6">
      <c r="A65" s="101"/>
      <c r="B65" s="156"/>
      <c r="C65" s="102"/>
      <c r="D65" s="54"/>
      <c r="E65" s="102"/>
      <c r="F65" s="250"/>
    </row>
    <row r="66" spans="1:6" ht="280.5">
      <c r="A66" s="133">
        <v>24</v>
      </c>
      <c r="B66" s="156" t="s">
        <v>650</v>
      </c>
      <c r="C66" s="253">
        <f>'Boating complex(Qnty)'!H171</f>
        <v>4.7250000000000005</v>
      </c>
      <c r="D66" s="4" t="s">
        <v>32</v>
      </c>
      <c r="E66" s="16">
        <v>2503</v>
      </c>
      <c r="F66" s="250">
        <f>E66*C66</f>
        <v>11826.675000000001</v>
      </c>
    </row>
    <row r="67" spans="1:6">
      <c r="A67" s="133"/>
      <c r="B67" s="156"/>
      <c r="C67" s="338"/>
      <c r="D67" s="4"/>
      <c r="E67" s="16"/>
      <c r="F67" s="250"/>
    </row>
    <row r="68" spans="1:6" ht="153">
      <c r="A68" s="133">
        <v>25</v>
      </c>
      <c r="B68" s="181" t="s">
        <v>649</v>
      </c>
      <c r="C68" s="338">
        <f>'Boating complex(Qnty)'!H172</f>
        <v>14.850000000000001</v>
      </c>
      <c r="D68" s="4" t="s">
        <v>434</v>
      </c>
      <c r="E68" s="16">
        <v>339.5</v>
      </c>
      <c r="F68" s="250">
        <f>E68*C68</f>
        <v>5041.5750000000007</v>
      </c>
    </row>
    <row r="69" spans="1:6" ht="38.25">
      <c r="A69" s="101">
        <v>26</v>
      </c>
      <c r="B69" s="339" t="s">
        <v>987</v>
      </c>
      <c r="C69" s="102">
        <f>'Boating complex(Qnty)'!H137</f>
        <v>154.68</v>
      </c>
      <c r="D69" s="180" t="s">
        <v>32</v>
      </c>
      <c r="E69" s="102" t="e">
        <f>ANALYSIS!#REF!+ANALYSIS!F762</f>
        <v>#REF!</v>
      </c>
      <c r="F69" s="250" t="e">
        <f>E69*C69</f>
        <v>#REF!</v>
      </c>
    </row>
    <row r="70" spans="1:6">
      <c r="A70" s="101"/>
      <c r="B70" s="339"/>
      <c r="C70" s="102"/>
      <c r="D70" s="180"/>
      <c r="E70" s="102"/>
      <c r="F70" s="250"/>
    </row>
    <row r="71" spans="1:6" ht="25.5">
      <c r="A71" s="101">
        <v>27</v>
      </c>
      <c r="B71" s="339" t="s">
        <v>988</v>
      </c>
      <c r="C71" s="102">
        <f>'Boating complex(Qnty)'!H139</f>
        <v>63.354999999999997</v>
      </c>
      <c r="D71" s="180" t="s">
        <v>32</v>
      </c>
      <c r="E71" s="102" t="e">
        <f>ANALYSIS!#REF!+ANALYSIS!F777</f>
        <v>#REF!</v>
      </c>
      <c r="F71" s="250" t="e">
        <f>E71*C71</f>
        <v>#REF!</v>
      </c>
    </row>
    <row r="72" spans="1:6">
      <c r="A72" s="101"/>
      <c r="B72" s="339"/>
      <c r="C72" s="102"/>
      <c r="D72" s="180"/>
      <c r="E72" s="102"/>
      <c r="F72" s="250"/>
    </row>
    <row r="73" spans="1:6" ht="102">
      <c r="A73" s="101">
        <v>28</v>
      </c>
      <c r="B73" s="189" t="s">
        <v>462</v>
      </c>
      <c r="C73" s="120">
        <f>'Boating complex(Qnty)'!H178</f>
        <v>47.160000000000004</v>
      </c>
      <c r="D73" s="100" t="s">
        <v>18</v>
      </c>
      <c r="E73" s="120" t="e">
        <f>ANALYSIS!#REF!</f>
        <v>#REF!</v>
      </c>
      <c r="F73" s="250" t="e">
        <f>E73*C73</f>
        <v>#REF!</v>
      </c>
    </row>
    <row r="74" spans="1:6">
      <c r="A74" s="101"/>
      <c r="B74" s="189"/>
      <c r="C74" s="120"/>
      <c r="D74" s="100"/>
      <c r="E74" s="120"/>
      <c r="F74" s="250"/>
    </row>
    <row r="75" spans="1:6" ht="51">
      <c r="A75" s="101">
        <v>29</v>
      </c>
      <c r="B75" s="156" t="s">
        <v>989</v>
      </c>
      <c r="C75" s="102">
        <f>'Boating complex(Qnty)'!H180</f>
        <v>1.74</v>
      </c>
      <c r="D75" s="180" t="s">
        <v>32</v>
      </c>
      <c r="E75" s="102">
        <f>[4]ANALYSIS!$F$1225</f>
        <v>2505.8000000000002</v>
      </c>
      <c r="F75" s="250">
        <f>E75*C75</f>
        <v>4360.0920000000006</v>
      </c>
    </row>
    <row r="76" spans="1:6">
      <c r="A76" s="101"/>
      <c r="B76" s="339"/>
      <c r="C76" s="102"/>
      <c r="D76" s="180"/>
      <c r="E76" s="102"/>
      <c r="F76" s="250"/>
    </row>
    <row r="77" spans="1:6">
      <c r="A77" s="340"/>
      <c r="B77" s="341"/>
      <c r="C77" s="182"/>
      <c r="D77" s="342"/>
      <c r="E77" s="343" t="s">
        <v>117</v>
      </c>
      <c r="F77" s="344" t="e">
        <f>SUM(F5:F75)</f>
        <v>#REF!</v>
      </c>
    </row>
    <row r="78" spans="1:6">
      <c r="A78" s="345"/>
      <c r="B78" s="247"/>
      <c r="C78" s="182"/>
      <c r="D78" s="342"/>
      <c r="E78" s="343"/>
      <c r="F78" s="250"/>
    </row>
    <row r="79" spans="1:6">
      <c r="A79" s="346"/>
      <c r="B79" s="247"/>
      <c r="C79" s="347"/>
      <c r="D79" s="348"/>
      <c r="E79" s="177"/>
      <c r="F79" s="250"/>
    </row>
    <row r="80" spans="1:6" ht="15.75">
      <c r="A80" s="103"/>
      <c r="B80" s="349"/>
      <c r="C80" s="350"/>
      <c r="D80" s="351"/>
      <c r="E80" s="135"/>
      <c r="F80" s="352"/>
    </row>
    <row r="81" spans="1:6">
      <c r="A81" s="313"/>
      <c r="B81" s="313"/>
      <c r="C81" s="350"/>
      <c r="D81" s="351"/>
      <c r="E81" s="353"/>
      <c r="F81" s="354"/>
    </row>
  </sheetData>
  <mergeCells count="1">
    <mergeCell ref="A1:F1"/>
  </mergeCells>
  <dataValidations disablePrompts="1" count="1">
    <dataValidation type="decimal" showInputMessage="1" showErrorMessage="1" errorTitle="Invaid Entry" error="Only Numeric Values are allowed. " promptTitle="Rate Entry" prompt="Please enter the Rate in Rupees for this item. " sqref="F48:F49">
      <formula1>0</formula1>
      <formula2>999999999999999</formula2>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workbookViewId="0">
      <selection activeCell="L36" sqref="L36"/>
    </sheetView>
  </sheetViews>
  <sheetFormatPr defaultRowHeight="12.75"/>
  <cols>
    <col min="1" max="1" width="6.85546875" customWidth="1"/>
    <col min="2" max="2" width="29.7109375" bestFit="1" customWidth="1"/>
    <col min="3" max="3" width="7.5703125" customWidth="1"/>
    <col min="4" max="4" width="7.42578125" customWidth="1"/>
    <col min="5" max="5" width="9.85546875" customWidth="1"/>
    <col min="6" max="6" width="8.85546875" customWidth="1"/>
    <col min="7" max="7" width="9.5703125" customWidth="1"/>
    <col min="8" max="8" width="9.42578125" bestFit="1" customWidth="1"/>
    <col min="10" max="17" width="8.140625" customWidth="1"/>
  </cols>
  <sheetData>
    <row r="1" spans="1:8" ht="18.75">
      <c r="A1" s="1264" t="s">
        <v>1011</v>
      </c>
      <c r="B1" s="1264"/>
      <c r="C1" s="1264"/>
      <c r="D1" s="1264"/>
      <c r="E1" s="1264"/>
      <c r="F1" s="1264"/>
      <c r="G1" s="1264"/>
      <c r="H1" s="1264"/>
    </row>
    <row r="2" spans="1:8" ht="15">
      <c r="A2" s="104" t="s">
        <v>407</v>
      </c>
      <c r="B2" s="104" t="s">
        <v>408</v>
      </c>
      <c r="C2" s="245" t="s">
        <v>96</v>
      </c>
      <c r="D2" s="104" t="s">
        <v>409</v>
      </c>
      <c r="E2" s="104" t="s">
        <v>410</v>
      </c>
      <c r="F2" s="104" t="s">
        <v>411</v>
      </c>
      <c r="G2" s="104" t="s">
        <v>412</v>
      </c>
      <c r="H2" s="104" t="s">
        <v>413</v>
      </c>
    </row>
    <row r="3" spans="1:8" ht="15">
      <c r="A3" s="104"/>
      <c r="B3" s="104"/>
      <c r="C3" s="245"/>
      <c r="D3" s="104"/>
      <c r="E3" s="104"/>
      <c r="F3" s="104"/>
      <c r="G3" s="104"/>
      <c r="H3" s="104"/>
    </row>
    <row r="4" spans="1:8" ht="15">
      <c r="A4" s="105">
        <v>1</v>
      </c>
      <c r="B4" s="106" t="s">
        <v>418</v>
      </c>
      <c r="C4" s="245"/>
      <c r="D4" s="1"/>
      <c r="E4" s="107"/>
      <c r="F4" s="1"/>
      <c r="G4" s="107"/>
      <c r="H4" s="2"/>
    </row>
    <row r="5" spans="1:8">
      <c r="A5" s="103"/>
      <c r="B5" t="s">
        <v>430</v>
      </c>
      <c r="C5" s="108" t="s">
        <v>64</v>
      </c>
      <c r="D5" s="1">
        <v>8</v>
      </c>
      <c r="E5" s="2"/>
      <c r="F5" s="2"/>
      <c r="G5" s="107"/>
      <c r="H5" s="2"/>
    </row>
    <row r="6" spans="1:8">
      <c r="A6" s="103"/>
      <c r="C6" s="108"/>
      <c r="D6" s="1"/>
      <c r="E6" s="2"/>
      <c r="F6" s="2"/>
      <c r="G6" s="107"/>
      <c r="H6" s="2"/>
    </row>
    <row r="7" spans="1:8" ht="15">
      <c r="A7" s="103"/>
      <c r="C7" s="108"/>
      <c r="E7" s="2"/>
      <c r="F7" s="355"/>
      <c r="G7" s="355"/>
      <c r="H7" s="110"/>
    </row>
    <row r="8" spans="1:8" ht="15">
      <c r="A8" s="105">
        <v>2</v>
      </c>
      <c r="B8" s="106" t="s">
        <v>414</v>
      </c>
      <c r="C8" s="245"/>
      <c r="D8" s="1"/>
      <c r="E8" s="107"/>
      <c r="F8" s="1"/>
      <c r="G8" s="107"/>
      <c r="H8" s="2"/>
    </row>
    <row r="9" spans="1:8">
      <c r="A9" s="103"/>
      <c r="B9" t="s">
        <v>472</v>
      </c>
      <c r="C9" s="108" t="s">
        <v>25</v>
      </c>
      <c r="D9" s="1">
        <v>8</v>
      </c>
      <c r="E9" s="2">
        <v>1.95</v>
      </c>
      <c r="F9" s="2">
        <v>0.75</v>
      </c>
      <c r="G9" s="107">
        <v>1.8</v>
      </c>
      <c r="H9" s="2">
        <f>G9*F9*E9*D9</f>
        <v>21.060000000000002</v>
      </c>
    </row>
    <row r="10" spans="1:8">
      <c r="A10" s="103"/>
      <c r="B10" t="s">
        <v>1012</v>
      </c>
      <c r="C10" s="108" t="s">
        <v>25</v>
      </c>
      <c r="D10" s="121">
        <v>1</v>
      </c>
      <c r="E10" s="1257">
        <v>23.65</v>
      </c>
      <c r="F10" s="1257"/>
      <c r="G10" s="107">
        <v>1.7250000000000001</v>
      </c>
      <c r="H10" s="112">
        <f>G10*E10*D10</f>
        <v>40.796250000000001</v>
      </c>
    </row>
    <row r="11" spans="1:8">
      <c r="A11" s="103"/>
      <c r="C11" s="108" t="s">
        <v>25</v>
      </c>
      <c r="D11" s="1"/>
      <c r="E11" s="117"/>
      <c r="F11" s="2"/>
      <c r="G11" s="107"/>
      <c r="H11" s="51">
        <f>SUM(H9:H10)</f>
        <v>61.856250000000003</v>
      </c>
    </row>
    <row r="12" spans="1:8">
      <c r="A12" s="103"/>
      <c r="C12" s="150"/>
      <c r="D12" s="1"/>
      <c r="E12" s="117"/>
      <c r="F12" s="2"/>
      <c r="G12" s="107"/>
      <c r="H12" s="2"/>
    </row>
    <row r="13" spans="1:8">
      <c r="A13" s="103"/>
      <c r="C13" s="150"/>
      <c r="D13" s="1"/>
      <c r="E13" s="117"/>
      <c r="F13" s="2"/>
      <c r="G13" s="107"/>
      <c r="H13" s="2"/>
    </row>
    <row r="14" spans="1:8">
      <c r="A14" s="103">
        <v>3</v>
      </c>
      <c r="B14" s="9" t="s">
        <v>461</v>
      </c>
      <c r="C14" s="1265" t="s">
        <v>558</v>
      </c>
      <c r="D14" s="1265"/>
      <c r="E14" s="1265"/>
    </row>
    <row r="15" spans="1:8">
      <c r="A15" s="1"/>
      <c r="C15" s="108"/>
      <c r="E15" s="2"/>
    </row>
    <row r="16" spans="1:8">
      <c r="A16" s="103">
        <v>4</v>
      </c>
      <c r="B16" s="9" t="s">
        <v>559</v>
      </c>
      <c r="C16" s="108" t="s">
        <v>25</v>
      </c>
      <c r="D16" s="1">
        <v>1</v>
      </c>
      <c r="E16" s="1257">
        <v>31.86</v>
      </c>
      <c r="F16" s="1257"/>
      <c r="G16" s="1">
        <f>0.15</f>
        <v>0.15</v>
      </c>
      <c r="H16" s="51">
        <f>G16*E16*D16</f>
        <v>4.7789999999999999</v>
      </c>
    </row>
    <row r="17" spans="1:8">
      <c r="A17" s="1"/>
      <c r="C17" s="108"/>
      <c r="E17" s="2"/>
    </row>
    <row r="18" spans="1:8">
      <c r="A18" s="1"/>
      <c r="C18" s="108"/>
      <c r="E18" s="2"/>
    </row>
    <row r="19" spans="1:8" ht="15">
      <c r="A19" s="104">
        <v>5</v>
      </c>
      <c r="B19" s="106" t="s">
        <v>325</v>
      </c>
      <c r="C19" s="245"/>
      <c r="E19" s="2"/>
    </row>
    <row r="20" spans="1:8">
      <c r="A20" s="103"/>
      <c r="B20" t="s">
        <v>1013</v>
      </c>
      <c r="C20" s="108" t="s">
        <v>25</v>
      </c>
      <c r="D20" s="1">
        <v>8</v>
      </c>
      <c r="E20" s="2">
        <v>1.95</v>
      </c>
      <c r="F20" s="2">
        <v>0.75</v>
      </c>
      <c r="G20" s="107">
        <v>0.15</v>
      </c>
      <c r="H20" s="2">
        <f>G20*F20*E20*D20</f>
        <v>1.7549999999999999</v>
      </c>
    </row>
    <row r="21" spans="1:8">
      <c r="A21" s="103"/>
      <c r="B21" t="s">
        <v>1014</v>
      </c>
      <c r="C21" s="108" t="s">
        <v>25</v>
      </c>
      <c r="D21" s="1">
        <v>1</v>
      </c>
      <c r="E21" s="2">
        <v>23.65</v>
      </c>
      <c r="F21" s="2">
        <v>0.4</v>
      </c>
      <c r="G21" s="107">
        <v>0.15</v>
      </c>
      <c r="H21" s="2">
        <f>G21*F21*E21*D21</f>
        <v>1.4189999999999998</v>
      </c>
    </row>
    <row r="22" spans="1:8">
      <c r="A22" s="103"/>
      <c r="C22" s="108" t="s">
        <v>25</v>
      </c>
      <c r="D22" s="1">
        <v>2</v>
      </c>
      <c r="E22" s="2">
        <v>3.65</v>
      </c>
      <c r="F22" s="2">
        <v>0.4</v>
      </c>
      <c r="G22" s="107">
        <v>0.15</v>
      </c>
      <c r="H22" s="2">
        <f>G22*F22*E22*D22</f>
        <v>0.438</v>
      </c>
    </row>
    <row r="23" spans="1:8">
      <c r="A23" s="103"/>
      <c r="B23" t="s">
        <v>1015</v>
      </c>
      <c r="C23" s="108" t="s">
        <v>25</v>
      </c>
      <c r="D23" s="1">
        <v>1</v>
      </c>
      <c r="E23" s="1257">
        <v>25.85</v>
      </c>
      <c r="F23" s="1257"/>
      <c r="G23" s="107">
        <v>0.35</v>
      </c>
      <c r="H23" s="2">
        <f>G23*F23*E23*D23</f>
        <v>0</v>
      </c>
    </row>
    <row r="24" spans="1:8">
      <c r="A24" s="103"/>
      <c r="B24" t="s">
        <v>1016</v>
      </c>
      <c r="C24" s="108" t="s">
        <v>25</v>
      </c>
      <c r="D24" s="1">
        <v>2</v>
      </c>
      <c r="E24" s="2">
        <v>1</v>
      </c>
      <c r="F24" s="2">
        <v>0.5</v>
      </c>
      <c r="G24" s="107">
        <v>0.15</v>
      </c>
      <c r="H24" s="2">
        <f>G24*F24*E24*D24</f>
        <v>0.15</v>
      </c>
    </row>
    <row r="25" spans="1:8" ht="15">
      <c r="A25" s="103"/>
      <c r="C25" s="108"/>
      <c r="D25" s="1"/>
      <c r="E25" s="2"/>
      <c r="F25" s="2"/>
      <c r="G25" s="107"/>
      <c r="H25" s="109">
        <f>SUM(H20:H24)</f>
        <v>3.7619999999999996</v>
      </c>
    </row>
    <row r="26" spans="1:8" ht="15">
      <c r="A26" s="103"/>
      <c r="C26" s="108"/>
      <c r="D26" s="1"/>
      <c r="E26" s="2"/>
      <c r="F26" s="2"/>
      <c r="G26" s="107"/>
      <c r="H26" s="118"/>
    </row>
    <row r="27" spans="1:8" ht="15">
      <c r="A27" s="104">
        <v>6</v>
      </c>
      <c r="B27" s="111" t="s">
        <v>417</v>
      </c>
      <c r="C27" s="245"/>
      <c r="E27" s="2"/>
    </row>
    <row r="28" spans="1:8">
      <c r="A28" s="103"/>
      <c r="B28" t="s">
        <v>1013</v>
      </c>
      <c r="C28" s="108" t="s">
        <v>25</v>
      </c>
      <c r="D28" s="1">
        <v>8</v>
      </c>
      <c r="E28" s="2">
        <v>1.95</v>
      </c>
      <c r="F28" s="2">
        <v>0.75</v>
      </c>
      <c r="G28" s="107">
        <v>0.1</v>
      </c>
      <c r="H28" s="2">
        <f>G28*F28*E28*D28</f>
        <v>1.1700000000000002</v>
      </c>
    </row>
    <row r="29" spans="1:8">
      <c r="A29" s="103"/>
      <c r="B29" t="s">
        <v>1014</v>
      </c>
      <c r="C29" s="108" t="s">
        <v>25</v>
      </c>
      <c r="D29" s="1">
        <v>1</v>
      </c>
      <c r="E29" s="2">
        <v>23.65</v>
      </c>
      <c r="F29" s="2">
        <v>0.4</v>
      </c>
      <c r="G29" s="107">
        <v>0.1</v>
      </c>
      <c r="H29" s="2">
        <f>G29*F29*E29*D29</f>
        <v>0.94600000000000017</v>
      </c>
    </row>
    <row r="30" spans="1:8">
      <c r="A30" s="103"/>
      <c r="C30" s="108" t="s">
        <v>25</v>
      </c>
      <c r="D30" s="1">
        <v>2</v>
      </c>
      <c r="E30" s="2">
        <v>3.65</v>
      </c>
      <c r="F30" s="2">
        <v>0.4</v>
      </c>
      <c r="G30" s="107">
        <v>0.1</v>
      </c>
      <c r="H30" s="2">
        <f>G30*E30*D30</f>
        <v>0.73</v>
      </c>
    </row>
    <row r="31" spans="1:8">
      <c r="A31" s="103"/>
      <c r="C31" s="108" t="s">
        <v>25</v>
      </c>
      <c r="D31" s="1">
        <v>1</v>
      </c>
      <c r="E31" s="1257">
        <v>4.5</v>
      </c>
      <c r="F31" s="1257"/>
      <c r="G31" s="107">
        <v>0.1</v>
      </c>
      <c r="H31" s="2">
        <f>G31*E31*D31</f>
        <v>0.45</v>
      </c>
    </row>
    <row r="32" spans="1:8">
      <c r="A32" s="103"/>
      <c r="B32" t="s">
        <v>1015</v>
      </c>
      <c r="C32" s="108" t="s">
        <v>25</v>
      </c>
      <c r="D32" s="1">
        <v>1</v>
      </c>
      <c r="E32" s="1257">
        <v>23.64</v>
      </c>
      <c r="F32" s="1257"/>
      <c r="G32" s="107">
        <v>7.4999999999999997E-2</v>
      </c>
      <c r="H32" s="2">
        <f>G32*E32*D32</f>
        <v>1.7729999999999999</v>
      </c>
    </row>
    <row r="33" spans="1:9">
      <c r="A33" s="103"/>
      <c r="B33" t="s">
        <v>1016</v>
      </c>
      <c r="C33" s="108" t="s">
        <v>25</v>
      </c>
      <c r="D33" s="1">
        <v>2</v>
      </c>
      <c r="E33" s="2">
        <v>1</v>
      </c>
      <c r="F33" s="2">
        <v>0.5</v>
      </c>
      <c r="G33" s="107">
        <v>0.1</v>
      </c>
      <c r="H33" s="2">
        <f>G33*F33*E33*D33</f>
        <v>0.1</v>
      </c>
    </row>
    <row r="34" spans="1:9" ht="15">
      <c r="A34" s="103"/>
      <c r="C34" s="108"/>
      <c r="D34" s="1"/>
      <c r="E34" s="2"/>
      <c r="F34" s="2"/>
      <c r="G34" s="107"/>
      <c r="H34" s="109">
        <f>SUM(H28:H33)</f>
        <v>5.1690000000000005</v>
      </c>
    </row>
    <row r="35" spans="1:9" ht="15">
      <c r="A35" s="103"/>
      <c r="C35" s="108"/>
      <c r="D35" s="1"/>
      <c r="E35" s="2"/>
      <c r="F35" s="2"/>
      <c r="G35" s="107"/>
      <c r="H35" s="118"/>
    </row>
    <row r="36" spans="1:9" ht="15">
      <c r="A36" s="104">
        <v>7</v>
      </c>
      <c r="B36" s="106" t="s">
        <v>421</v>
      </c>
      <c r="C36" s="245"/>
      <c r="E36" s="2"/>
    </row>
    <row r="37" spans="1:9" ht="15">
      <c r="A37" s="104" t="s">
        <v>475</v>
      </c>
      <c r="B37" t="s">
        <v>473</v>
      </c>
      <c r="C37" s="108" t="s">
        <v>25</v>
      </c>
      <c r="D37" s="108">
        <v>8</v>
      </c>
      <c r="E37" s="1257">
        <v>7.0000000000000007E-2</v>
      </c>
      <c r="F37" s="1257"/>
      <c r="G37" s="108">
        <v>6</v>
      </c>
      <c r="H37" s="151">
        <f>(D37*E37*G37)+(15.12*5%)</f>
        <v>4.1160000000000005</v>
      </c>
    </row>
    <row r="38" spans="1:9" ht="15">
      <c r="A38" s="104"/>
      <c r="C38" s="108"/>
      <c r="D38" s="108"/>
      <c r="E38" s="2"/>
      <c r="F38" s="2"/>
      <c r="G38" s="108"/>
      <c r="H38" s="115"/>
    </row>
    <row r="39" spans="1:9" ht="15">
      <c r="A39" s="104" t="s">
        <v>476</v>
      </c>
      <c r="B39" s="106" t="s">
        <v>423</v>
      </c>
      <c r="C39" s="108"/>
      <c r="D39" s="108"/>
      <c r="E39" s="2"/>
      <c r="F39" s="2"/>
      <c r="G39" s="108"/>
      <c r="H39" s="108"/>
    </row>
    <row r="40" spans="1:9">
      <c r="A40" s="103"/>
      <c r="B40" t="s">
        <v>415</v>
      </c>
      <c r="C40" s="108" t="s">
        <v>25</v>
      </c>
      <c r="D40" s="1">
        <v>8</v>
      </c>
      <c r="E40" s="2">
        <v>1.8</v>
      </c>
      <c r="F40" s="108">
        <v>0.6</v>
      </c>
      <c r="G40" s="108">
        <v>0.45</v>
      </c>
      <c r="H40" s="119">
        <f>D40*E40*F40*G40</f>
        <v>3.8880000000000003</v>
      </c>
      <c r="I40" s="27"/>
    </row>
    <row r="41" spans="1:9">
      <c r="A41" s="103"/>
      <c r="C41" s="108"/>
      <c r="D41" s="1"/>
      <c r="E41" s="2"/>
      <c r="F41" s="108"/>
      <c r="G41" s="108"/>
      <c r="H41" s="2"/>
    </row>
    <row r="42" spans="1:9">
      <c r="A42" s="103"/>
      <c r="C42" s="108"/>
      <c r="D42" s="1"/>
      <c r="E42" s="2"/>
      <c r="F42" s="108"/>
      <c r="G42" s="108"/>
      <c r="H42" s="2"/>
    </row>
    <row r="43" spans="1:9">
      <c r="A43" s="103" t="s">
        <v>477</v>
      </c>
      <c r="B43" t="s">
        <v>416</v>
      </c>
      <c r="C43" s="108" t="s">
        <v>25</v>
      </c>
      <c r="D43" s="1">
        <v>1</v>
      </c>
      <c r="E43" s="2">
        <v>23.65</v>
      </c>
      <c r="F43" s="108">
        <v>0.25</v>
      </c>
      <c r="G43" s="108">
        <v>0.35</v>
      </c>
      <c r="H43" s="115">
        <f>G43*F43*E43*D43</f>
        <v>2.069375</v>
      </c>
    </row>
    <row r="44" spans="1:9">
      <c r="A44" s="103"/>
      <c r="C44" s="108" t="s">
        <v>25</v>
      </c>
      <c r="D44" s="1">
        <v>2</v>
      </c>
      <c r="E44" s="2">
        <v>3.65</v>
      </c>
      <c r="F44" s="108">
        <v>0.25</v>
      </c>
      <c r="G44" s="108">
        <v>0.35</v>
      </c>
      <c r="H44" s="152">
        <f>G44*F44*E44*D44</f>
        <v>0.63874999999999993</v>
      </c>
    </row>
    <row r="45" spans="1:9">
      <c r="A45" s="103"/>
      <c r="C45" s="108"/>
      <c r="D45" s="108"/>
      <c r="E45" s="2"/>
      <c r="F45" s="108"/>
      <c r="G45" s="108"/>
      <c r="H45" s="151">
        <f>H44+H43</f>
        <v>2.7081249999999999</v>
      </c>
      <c r="I45" s="27"/>
    </row>
    <row r="46" spans="1:9">
      <c r="A46" s="103"/>
      <c r="C46" s="108"/>
      <c r="D46" s="108"/>
      <c r="E46" s="2"/>
      <c r="F46" s="108"/>
      <c r="G46" s="108"/>
      <c r="H46" s="115"/>
      <c r="I46" s="27"/>
    </row>
    <row r="47" spans="1:9">
      <c r="A47" s="103" t="s">
        <v>478</v>
      </c>
      <c r="B47" t="s">
        <v>560</v>
      </c>
      <c r="C47" s="108" t="s">
        <v>25</v>
      </c>
      <c r="D47" s="1">
        <v>1</v>
      </c>
      <c r="E47" s="2">
        <v>23.65</v>
      </c>
      <c r="F47" s="108">
        <v>0.25</v>
      </c>
      <c r="G47" s="108">
        <v>0.3</v>
      </c>
      <c r="H47" s="115">
        <f>G47*F47*E47*D47</f>
        <v>1.7737499999999999</v>
      </c>
    </row>
    <row r="48" spans="1:9">
      <c r="A48" s="103"/>
      <c r="C48" s="108" t="s">
        <v>25</v>
      </c>
      <c r="D48" s="1">
        <v>2</v>
      </c>
      <c r="E48" s="2">
        <v>3.65</v>
      </c>
      <c r="F48" s="108">
        <v>0.25</v>
      </c>
      <c r="G48" s="108">
        <v>0.3</v>
      </c>
      <c r="H48" s="152">
        <f>G48*F48*E48*D48</f>
        <v>0.54749999999999999</v>
      </c>
    </row>
    <row r="49" spans="1:9">
      <c r="A49" s="103"/>
      <c r="C49" s="108"/>
      <c r="D49" s="108"/>
      <c r="E49" s="2"/>
      <c r="F49" s="108"/>
      <c r="G49" s="108"/>
      <c r="H49" s="151">
        <f>H48+H47</f>
        <v>2.32125</v>
      </c>
      <c r="I49" s="27"/>
    </row>
    <row r="50" spans="1:9">
      <c r="A50" s="103"/>
      <c r="C50" s="108"/>
      <c r="D50" s="108"/>
      <c r="E50" s="2"/>
      <c r="F50" s="108"/>
      <c r="G50" s="108"/>
      <c r="H50" s="115"/>
      <c r="I50" s="27"/>
    </row>
    <row r="51" spans="1:9">
      <c r="A51" s="103" t="s">
        <v>479</v>
      </c>
      <c r="B51" s="9" t="s">
        <v>419</v>
      </c>
      <c r="C51" s="108" t="s">
        <v>25</v>
      </c>
      <c r="D51" s="108">
        <v>8</v>
      </c>
      <c r="E51" s="2">
        <v>0.25</v>
      </c>
      <c r="F51" s="108">
        <v>0.375</v>
      </c>
      <c r="G51" s="150">
        <v>1.1000000000000001</v>
      </c>
      <c r="H51" s="119">
        <f>G51*F51*E51*D51</f>
        <v>0.82500000000000007</v>
      </c>
      <c r="I51" s="27"/>
    </row>
    <row r="52" spans="1:9">
      <c r="A52" s="103"/>
      <c r="C52" s="108"/>
      <c r="D52" s="108"/>
      <c r="E52" s="2"/>
      <c r="F52" s="108"/>
      <c r="G52" s="357"/>
      <c r="H52" s="108"/>
      <c r="I52" s="27"/>
    </row>
    <row r="53" spans="1:9" ht="15">
      <c r="A53" s="103"/>
      <c r="B53" s="106" t="s">
        <v>422</v>
      </c>
    </row>
    <row r="54" spans="1:9">
      <c r="A54" s="103" t="s">
        <v>475</v>
      </c>
      <c r="B54" s="9" t="s">
        <v>419</v>
      </c>
      <c r="C54" s="108" t="s">
        <v>25</v>
      </c>
      <c r="D54" s="108">
        <v>8</v>
      </c>
      <c r="E54" s="2">
        <v>0.25</v>
      </c>
      <c r="F54" s="108">
        <v>0.375</v>
      </c>
      <c r="G54" s="108">
        <v>3</v>
      </c>
      <c r="H54" s="119">
        <f t="shared" ref="H54:H60" si="0">G54*F54*E54*D54</f>
        <v>2.25</v>
      </c>
      <c r="I54" s="27"/>
    </row>
    <row r="55" spans="1:9">
      <c r="A55" s="103"/>
      <c r="C55" s="108"/>
      <c r="D55" s="108"/>
      <c r="E55" s="2"/>
      <c r="F55" s="108"/>
      <c r="G55" s="108"/>
      <c r="H55" s="108"/>
      <c r="I55" s="27"/>
    </row>
    <row r="56" spans="1:9">
      <c r="A56" s="103" t="s">
        <v>476</v>
      </c>
      <c r="B56" s="9" t="s">
        <v>1017</v>
      </c>
      <c r="C56" s="108" t="s">
        <v>25</v>
      </c>
      <c r="D56" s="108">
        <v>6</v>
      </c>
      <c r="E56" s="2">
        <v>1.35</v>
      </c>
      <c r="F56" s="108">
        <v>0.125</v>
      </c>
      <c r="G56" s="108">
        <v>0.15</v>
      </c>
      <c r="H56" s="115">
        <f t="shared" si="0"/>
        <v>0.15187500000000001</v>
      </c>
    </row>
    <row r="57" spans="1:9">
      <c r="A57" s="103"/>
      <c r="C57" s="108" t="s">
        <v>25</v>
      </c>
      <c r="D57" s="108">
        <v>1</v>
      </c>
      <c r="E57" s="2">
        <v>1.6</v>
      </c>
      <c r="F57" s="108">
        <v>0.125</v>
      </c>
      <c r="G57" s="108">
        <v>0.15</v>
      </c>
      <c r="H57" s="115">
        <f t="shared" si="0"/>
        <v>0.03</v>
      </c>
    </row>
    <row r="58" spans="1:9">
      <c r="A58" s="103"/>
      <c r="C58" s="108" t="s">
        <v>25</v>
      </c>
      <c r="D58" s="108">
        <v>2</v>
      </c>
      <c r="E58" s="2">
        <v>1.6</v>
      </c>
      <c r="F58" s="358">
        <v>0.25</v>
      </c>
      <c r="G58" s="108">
        <v>0.15</v>
      </c>
      <c r="H58" s="115">
        <f t="shared" si="0"/>
        <v>0.12</v>
      </c>
    </row>
    <row r="59" spans="1:9">
      <c r="A59" s="103"/>
      <c r="C59" s="108" t="s">
        <v>25</v>
      </c>
      <c r="D59" s="108">
        <v>2</v>
      </c>
      <c r="E59" s="2">
        <v>1.8</v>
      </c>
      <c r="F59" s="358">
        <v>0.25</v>
      </c>
      <c r="G59" s="108">
        <v>0.15</v>
      </c>
      <c r="H59" s="115">
        <f t="shared" si="0"/>
        <v>0.13500000000000001</v>
      </c>
    </row>
    <row r="60" spans="1:9">
      <c r="A60" s="103"/>
      <c r="C60" s="108" t="s">
        <v>25</v>
      </c>
      <c r="D60" s="108">
        <v>6</v>
      </c>
      <c r="E60" s="2">
        <v>1.2</v>
      </c>
      <c r="F60" s="358">
        <v>0.25</v>
      </c>
      <c r="G60" s="108">
        <v>0.15</v>
      </c>
      <c r="H60" s="152">
        <f t="shared" si="0"/>
        <v>0.27</v>
      </c>
    </row>
    <row r="61" spans="1:9">
      <c r="A61" s="103"/>
      <c r="G61" s="1"/>
      <c r="H61" s="51">
        <f>SUM(H56:H60)</f>
        <v>0.70687500000000003</v>
      </c>
    </row>
    <row r="62" spans="1:9">
      <c r="A62" s="103"/>
      <c r="G62" s="1"/>
      <c r="H62" s="2"/>
    </row>
    <row r="63" spans="1:9">
      <c r="A63" s="103" t="s">
        <v>477</v>
      </c>
      <c r="B63" s="9" t="s">
        <v>975</v>
      </c>
      <c r="C63" s="108" t="s">
        <v>25</v>
      </c>
      <c r="D63" s="108">
        <v>2</v>
      </c>
      <c r="E63" s="2">
        <v>1.8</v>
      </c>
      <c r="F63" s="108">
        <v>0.45</v>
      </c>
      <c r="G63" s="1">
        <v>0.1</v>
      </c>
      <c r="H63" s="51">
        <f>G63*F63*E63*D63</f>
        <v>0.16200000000000003</v>
      </c>
    </row>
    <row r="64" spans="1:9">
      <c r="A64" s="103"/>
      <c r="B64" s="9"/>
      <c r="C64" s="108"/>
      <c r="D64" s="108"/>
      <c r="E64" s="2"/>
      <c r="F64" s="108"/>
      <c r="G64" s="1"/>
      <c r="H64" s="2"/>
    </row>
    <row r="65" spans="1:9">
      <c r="A65" s="103"/>
      <c r="B65" s="9"/>
      <c r="C65" s="108"/>
      <c r="D65" s="108"/>
      <c r="E65" s="2"/>
      <c r="F65" s="108"/>
      <c r="G65" s="1"/>
      <c r="H65" s="2"/>
    </row>
    <row r="66" spans="1:9">
      <c r="A66" s="103" t="s">
        <v>478</v>
      </c>
      <c r="B66" s="20" t="s">
        <v>460</v>
      </c>
      <c r="C66" s="108" t="s">
        <v>25</v>
      </c>
      <c r="D66" s="108">
        <v>4</v>
      </c>
      <c r="E66" s="2">
        <v>3.65</v>
      </c>
      <c r="F66" s="108">
        <v>0.25</v>
      </c>
      <c r="G66" s="108">
        <v>0.4</v>
      </c>
      <c r="H66" s="252">
        <f>G66*F66*E66*D66</f>
        <v>1.46</v>
      </c>
    </row>
    <row r="67" spans="1:9">
      <c r="A67" s="103"/>
      <c r="C67" s="108" t="s">
        <v>25</v>
      </c>
      <c r="D67" s="108">
        <v>2</v>
      </c>
      <c r="E67" s="2">
        <v>7.68</v>
      </c>
      <c r="F67" s="108">
        <v>0.25</v>
      </c>
      <c r="G67" s="108">
        <v>0.4</v>
      </c>
      <c r="H67" s="159">
        <f>G67*F67*E67*D67</f>
        <v>1.536</v>
      </c>
    </row>
    <row r="68" spans="1:9">
      <c r="A68" s="103"/>
      <c r="H68" s="151">
        <f>H67+H66</f>
        <v>2.996</v>
      </c>
      <c r="I68" s="27"/>
    </row>
    <row r="69" spans="1:9">
      <c r="A69" s="103"/>
      <c r="H69" s="115"/>
      <c r="I69" s="27"/>
    </row>
    <row r="70" spans="1:9">
      <c r="A70" s="103" t="s">
        <v>479</v>
      </c>
      <c r="B70" t="s">
        <v>564</v>
      </c>
      <c r="C70" s="108" t="s">
        <v>25</v>
      </c>
      <c r="D70" s="1">
        <v>1</v>
      </c>
      <c r="E70" s="2">
        <v>7.68</v>
      </c>
      <c r="F70" s="2">
        <v>4.1500000000000004</v>
      </c>
      <c r="G70" s="107">
        <v>0.1</v>
      </c>
      <c r="H70" s="152">
        <f>G70*F70*E70*D70</f>
        <v>3.1872000000000003</v>
      </c>
    </row>
    <row r="71" spans="1:9" ht="15">
      <c r="A71" s="103"/>
      <c r="C71" s="108"/>
      <c r="E71" s="2"/>
      <c r="F71" s="355"/>
      <c r="G71" s="355"/>
      <c r="H71" s="118">
        <f>H70</f>
        <v>3.1872000000000003</v>
      </c>
      <c r="I71" s="108"/>
    </row>
    <row r="72" spans="1:9" ht="15">
      <c r="A72" s="103"/>
      <c r="C72" s="108"/>
      <c r="E72" s="2"/>
      <c r="F72" s="355"/>
      <c r="G72" s="355"/>
      <c r="H72" s="118"/>
      <c r="I72" s="108"/>
    </row>
    <row r="73" spans="1:9" ht="15">
      <c r="A73" s="103">
        <v>8</v>
      </c>
      <c r="B73" t="s">
        <v>327</v>
      </c>
      <c r="C73" s="108" t="s">
        <v>447</v>
      </c>
      <c r="D73" s="359" t="s">
        <v>492</v>
      </c>
      <c r="F73" s="150" t="s">
        <v>1018</v>
      </c>
      <c r="G73" s="2"/>
      <c r="H73" s="153">
        <f>(H71+H68+H61+H54+H51+H49+H45+H63+H40+H37)*120</f>
        <v>2779.2539999999999</v>
      </c>
    </row>
    <row r="74" spans="1:9" ht="15">
      <c r="A74" s="103"/>
      <c r="B74" s="9"/>
      <c r="C74" s="150"/>
      <c r="D74" s="1"/>
      <c r="E74" s="2"/>
      <c r="F74" s="2"/>
      <c r="G74" s="17" t="s">
        <v>69</v>
      </c>
      <c r="H74" s="118">
        <f>H73/100</f>
        <v>27.792539999999999</v>
      </c>
      <c r="I74" s="27"/>
    </row>
    <row r="75" spans="1:9" ht="15">
      <c r="A75" s="103"/>
      <c r="B75" s="9"/>
      <c r="C75" s="150"/>
      <c r="D75" s="1"/>
      <c r="E75" s="2"/>
      <c r="F75" s="2"/>
      <c r="G75" s="2"/>
      <c r="H75" s="153"/>
    </row>
    <row r="76" spans="1:9" ht="15">
      <c r="A76" s="103">
        <v>9</v>
      </c>
      <c r="B76" s="17" t="s">
        <v>565</v>
      </c>
      <c r="C76" s="150"/>
      <c r="D76" s="1"/>
      <c r="E76" s="2"/>
      <c r="F76" s="2"/>
      <c r="G76" s="2"/>
      <c r="H76" s="153"/>
    </row>
    <row r="77" spans="1:9" ht="15">
      <c r="A77" s="103"/>
      <c r="B77" s="9" t="s">
        <v>1019</v>
      </c>
      <c r="C77" s="150" t="s">
        <v>25</v>
      </c>
      <c r="D77" s="1">
        <v>1</v>
      </c>
      <c r="E77" s="2">
        <v>23.65</v>
      </c>
      <c r="F77" s="1">
        <f>1.66*0.3</f>
        <v>0.49799999999999994</v>
      </c>
      <c r="G77" s="1">
        <f>0.83*0.3</f>
        <v>0.24899999999999997</v>
      </c>
      <c r="H77" s="153">
        <f>G77*F77*E77*D77</f>
        <v>2.9326472999999993</v>
      </c>
    </row>
    <row r="78" spans="1:9" ht="15">
      <c r="A78" s="103"/>
      <c r="B78" s="9"/>
      <c r="C78" s="150" t="s">
        <v>25</v>
      </c>
      <c r="D78" s="1">
        <v>1</v>
      </c>
      <c r="E78" s="2">
        <v>23.65</v>
      </c>
      <c r="F78" s="1">
        <f>1.41*0.3</f>
        <v>0.42299999999999999</v>
      </c>
      <c r="G78" s="1">
        <f>0.83*0.3</f>
        <v>0.24899999999999997</v>
      </c>
      <c r="H78" s="153">
        <f>G78*F78*E78*D78</f>
        <v>2.4909835499999997</v>
      </c>
    </row>
    <row r="79" spans="1:9" ht="15">
      <c r="A79" s="103"/>
      <c r="B79" s="9"/>
      <c r="C79" s="150" t="s">
        <v>25</v>
      </c>
      <c r="D79" s="1">
        <v>1</v>
      </c>
      <c r="E79" s="2">
        <v>23.65</v>
      </c>
      <c r="F79" s="1">
        <f>0.83*0.3</f>
        <v>0.24899999999999997</v>
      </c>
      <c r="G79" s="1">
        <f>3*0.3</f>
        <v>0.89999999999999991</v>
      </c>
      <c r="H79" s="154">
        <f>G79*F79*E79*D79</f>
        <v>5.2999649999999985</v>
      </c>
    </row>
    <row r="80" spans="1:9">
      <c r="A80" s="103"/>
      <c r="B80" s="9"/>
      <c r="H80" s="151">
        <f>SUM(H77:H79)</f>
        <v>10.723595849999997</v>
      </c>
    </row>
    <row r="81" spans="1:15">
      <c r="A81" s="103"/>
      <c r="B81" s="9"/>
      <c r="H81" s="115"/>
    </row>
    <row r="82" spans="1:15" ht="15">
      <c r="A82" s="103"/>
      <c r="B82" s="9" t="s">
        <v>1020</v>
      </c>
      <c r="C82" s="150" t="s">
        <v>25</v>
      </c>
      <c r="D82" s="1">
        <v>2</v>
      </c>
      <c r="E82" s="2">
        <v>7.68</v>
      </c>
      <c r="F82" s="2">
        <v>0.25</v>
      </c>
      <c r="G82" s="2">
        <v>3</v>
      </c>
      <c r="H82" s="153">
        <f t="shared" ref="H82:H88" si="1">G82*F82*E82*D82</f>
        <v>11.52</v>
      </c>
    </row>
    <row r="83" spans="1:15" ht="15">
      <c r="A83" s="103"/>
      <c r="B83" s="9"/>
      <c r="C83" s="150" t="s">
        <v>25</v>
      </c>
      <c r="D83" s="1">
        <v>2</v>
      </c>
      <c r="E83" s="2">
        <v>4.1500000000000004</v>
      </c>
      <c r="F83" s="2">
        <v>0.25</v>
      </c>
      <c r="G83" s="2">
        <v>3</v>
      </c>
      <c r="H83" s="153">
        <f t="shared" si="1"/>
        <v>6.2250000000000005</v>
      </c>
    </row>
    <row r="84" spans="1:15" ht="15">
      <c r="A84" s="103"/>
      <c r="B84" s="9"/>
      <c r="C84" s="150" t="s">
        <v>25</v>
      </c>
      <c r="D84" s="1">
        <v>2</v>
      </c>
      <c r="E84" s="2">
        <v>2.65</v>
      </c>
      <c r="F84" s="2">
        <v>0.25</v>
      </c>
      <c r="G84" s="2">
        <v>3</v>
      </c>
      <c r="H84" s="153">
        <f t="shared" si="1"/>
        <v>3.9749999999999996</v>
      </c>
    </row>
    <row r="85" spans="1:15" ht="15">
      <c r="A85" s="103"/>
      <c r="B85" s="9"/>
      <c r="C85" s="150" t="s">
        <v>25</v>
      </c>
      <c r="D85" s="1">
        <v>2</v>
      </c>
      <c r="E85" s="2">
        <v>2.65</v>
      </c>
      <c r="F85" s="107">
        <v>0.125</v>
      </c>
      <c r="G85" s="2">
        <v>3</v>
      </c>
      <c r="H85" s="153">
        <f t="shared" si="1"/>
        <v>1.9874999999999998</v>
      </c>
    </row>
    <row r="86" spans="1:15" ht="15">
      <c r="A86" s="103"/>
      <c r="B86" s="9"/>
      <c r="C86" s="150" t="s">
        <v>25</v>
      </c>
      <c r="D86" s="1">
        <v>2</v>
      </c>
      <c r="E86" s="2">
        <v>2.3199999999999998</v>
      </c>
      <c r="F86" s="107">
        <v>0.125</v>
      </c>
      <c r="G86" s="2">
        <v>3</v>
      </c>
      <c r="H86" s="153">
        <f t="shared" si="1"/>
        <v>1.7399999999999998</v>
      </c>
    </row>
    <row r="87" spans="1:15" ht="15">
      <c r="A87" s="103"/>
      <c r="B87" s="9"/>
      <c r="C87" s="150" t="s">
        <v>25</v>
      </c>
      <c r="D87" s="1">
        <v>2</v>
      </c>
      <c r="E87" s="2">
        <v>1.34</v>
      </c>
      <c r="F87" s="107">
        <v>0.125</v>
      </c>
      <c r="G87" s="2">
        <v>3</v>
      </c>
      <c r="H87" s="153">
        <f t="shared" si="1"/>
        <v>1.0050000000000001</v>
      </c>
    </row>
    <row r="88" spans="1:15" ht="15">
      <c r="A88" s="103"/>
      <c r="B88" s="9"/>
      <c r="C88" s="150" t="s">
        <v>25</v>
      </c>
      <c r="D88" s="1">
        <v>1</v>
      </c>
      <c r="E88" s="2">
        <v>1.97</v>
      </c>
      <c r="F88" s="2">
        <v>0.125</v>
      </c>
      <c r="G88" s="2">
        <v>3</v>
      </c>
      <c r="H88" s="154">
        <f t="shared" si="1"/>
        <v>0.73875000000000002</v>
      </c>
      <c r="O88">
        <f>3-0.45</f>
        <v>2.5499999999999998</v>
      </c>
    </row>
    <row r="89" spans="1:15">
      <c r="A89" s="103"/>
      <c r="B89" s="9"/>
      <c r="C89" s="150"/>
      <c r="D89" s="1"/>
      <c r="H89" s="191">
        <f>SUM(H82:H88)</f>
        <v>27.191249999999997</v>
      </c>
      <c r="I89" s="108"/>
    </row>
    <row r="90" spans="1:15">
      <c r="A90" s="103"/>
      <c r="B90" s="9" t="s">
        <v>1021</v>
      </c>
      <c r="C90" s="150"/>
      <c r="D90" s="1"/>
      <c r="I90" s="108"/>
      <c r="K90" s="27"/>
    </row>
    <row r="91" spans="1:15">
      <c r="A91" s="103"/>
      <c r="B91" s="150" t="s">
        <v>213</v>
      </c>
      <c r="C91" s="150" t="s">
        <v>25</v>
      </c>
      <c r="D91" s="108">
        <v>6</v>
      </c>
      <c r="E91" s="2">
        <v>0.75</v>
      </c>
      <c r="F91" s="2">
        <v>0.25</v>
      </c>
      <c r="G91" s="2">
        <v>2.1</v>
      </c>
      <c r="H91" s="122">
        <f>G91*F91*E91*D91</f>
        <v>2.3625000000000003</v>
      </c>
      <c r="I91" s="108"/>
      <c r="L91">
        <f>J97+J89+J75</f>
        <v>0</v>
      </c>
    </row>
    <row r="92" spans="1:15">
      <c r="A92" s="103"/>
      <c r="B92" s="150" t="s">
        <v>213</v>
      </c>
      <c r="C92" s="150" t="s">
        <v>25</v>
      </c>
      <c r="D92" s="108">
        <v>3</v>
      </c>
      <c r="E92" s="2">
        <v>1</v>
      </c>
      <c r="F92" s="2">
        <v>0.25</v>
      </c>
      <c r="G92" s="2">
        <v>2.1</v>
      </c>
      <c r="H92" s="122">
        <f>G92*F92*E92*D92</f>
        <v>1.5750000000000002</v>
      </c>
      <c r="I92" s="108"/>
    </row>
    <row r="93" spans="1:15">
      <c r="A93" s="103"/>
      <c r="B93" s="150" t="s">
        <v>1022</v>
      </c>
      <c r="C93" s="108" t="s">
        <v>25</v>
      </c>
      <c r="D93" s="108">
        <v>2</v>
      </c>
      <c r="E93" s="2">
        <v>1.2</v>
      </c>
      <c r="F93" s="2">
        <v>0.25</v>
      </c>
      <c r="G93" s="2">
        <v>1.5</v>
      </c>
      <c r="H93" s="122">
        <f>G93*F93*E93*D93</f>
        <v>0.89999999999999991</v>
      </c>
      <c r="I93" s="108"/>
    </row>
    <row r="94" spans="1:15">
      <c r="A94" s="103"/>
      <c r="B94" s="150" t="s">
        <v>648</v>
      </c>
      <c r="C94" s="108" t="s">
        <v>25</v>
      </c>
      <c r="D94" s="108">
        <v>6</v>
      </c>
      <c r="E94" s="2">
        <v>0.6</v>
      </c>
      <c r="F94" s="2">
        <v>0.25</v>
      </c>
      <c r="G94" s="2">
        <v>0.6</v>
      </c>
      <c r="H94" s="114">
        <f>G94*F94*E94*D94</f>
        <v>0.54</v>
      </c>
      <c r="I94" s="108"/>
    </row>
    <row r="95" spans="1:15">
      <c r="A95" s="103"/>
      <c r="C95" s="108"/>
      <c r="E95" s="2"/>
      <c r="H95" s="115">
        <f>SUM(H91:H94)</f>
        <v>5.3775000000000004</v>
      </c>
      <c r="I95" s="108"/>
    </row>
    <row r="96" spans="1:15">
      <c r="A96" s="103"/>
      <c r="C96" s="108"/>
      <c r="E96" s="2"/>
      <c r="H96" s="115"/>
      <c r="I96" s="108"/>
    </row>
    <row r="97" spans="1:9">
      <c r="A97" s="103"/>
      <c r="B97" s="9"/>
      <c r="C97" s="8"/>
      <c r="D97" s="108"/>
      <c r="E97" s="1"/>
      <c r="F97" s="108"/>
      <c r="G97" s="108"/>
      <c r="H97" s="151">
        <f>H89-H95</f>
        <v>21.813749999999995</v>
      </c>
      <c r="I97" s="108"/>
    </row>
    <row r="98" spans="1:9" ht="15">
      <c r="A98" s="103"/>
      <c r="B98" s="9"/>
      <c r="C98" s="8"/>
      <c r="D98" s="1"/>
      <c r="E98" s="108"/>
      <c r="H98" s="155"/>
    </row>
    <row r="99" spans="1:9">
      <c r="A99" s="135">
        <v>10</v>
      </c>
      <c r="B99" s="17" t="s">
        <v>1023</v>
      </c>
      <c r="C99" s="108"/>
      <c r="D99" s="1"/>
      <c r="E99" s="108"/>
      <c r="F99" s="108"/>
      <c r="G99" s="1"/>
      <c r="H99" s="115"/>
    </row>
    <row r="100" spans="1:9">
      <c r="A100" s="103"/>
      <c r="B100" s="9"/>
      <c r="C100" s="108" t="s">
        <v>32</v>
      </c>
      <c r="D100" s="1">
        <v>1</v>
      </c>
      <c r="E100" s="1257">
        <v>23.87</v>
      </c>
      <c r="F100" s="1257"/>
      <c r="G100" s="107"/>
      <c r="H100" s="119">
        <f>E100*D100</f>
        <v>23.87</v>
      </c>
    </row>
    <row r="101" spans="1:9">
      <c r="A101" s="103"/>
      <c r="H101" s="108"/>
      <c r="I101" s="108"/>
    </row>
    <row r="102" spans="1:9">
      <c r="A102" s="103"/>
      <c r="B102" s="9"/>
      <c r="C102" s="150"/>
      <c r="D102" s="108"/>
    </row>
    <row r="103" spans="1:9">
      <c r="A103" s="103">
        <v>11</v>
      </c>
      <c r="B103" s="17" t="s">
        <v>1024</v>
      </c>
      <c r="C103" s="108" t="s">
        <v>32</v>
      </c>
      <c r="D103" s="1">
        <v>1</v>
      </c>
      <c r="E103" s="2">
        <v>2.08</v>
      </c>
      <c r="F103" s="2"/>
      <c r="G103" s="360">
        <v>3</v>
      </c>
      <c r="H103" s="1">
        <f t="shared" ref="H103:H112" si="2">G103*E103*D103</f>
        <v>6.24</v>
      </c>
    </row>
    <row r="104" spans="1:9">
      <c r="A104" s="103"/>
      <c r="B104" s="9"/>
      <c r="C104" s="108" t="s">
        <v>32</v>
      </c>
      <c r="D104" s="1">
        <v>1</v>
      </c>
      <c r="E104" s="2">
        <v>3.65</v>
      </c>
      <c r="G104" s="108">
        <v>3</v>
      </c>
      <c r="H104" s="1">
        <f t="shared" si="2"/>
        <v>10.95</v>
      </c>
    </row>
    <row r="105" spans="1:9">
      <c r="A105" s="103"/>
      <c r="B105" s="9"/>
      <c r="C105" s="108" t="s">
        <v>32</v>
      </c>
      <c r="D105" s="1">
        <v>1</v>
      </c>
      <c r="E105" s="2">
        <v>3.6</v>
      </c>
      <c r="G105" s="108">
        <v>3</v>
      </c>
      <c r="H105" s="1">
        <f t="shared" si="2"/>
        <v>10.8</v>
      </c>
    </row>
    <row r="106" spans="1:9">
      <c r="A106" s="103"/>
      <c r="C106" s="108" t="s">
        <v>32</v>
      </c>
      <c r="D106" s="1">
        <v>1</v>
      </c>
      <c r="E106" s="2">
        <v>4.8</v>
      </c>
      <c r="G106" s="108">
        <v>3</v>
      </c>
      <c r="H106" s="1">
        <f t="shared" si="2"/>
        <v>14.399999999999999</v>
      </c>
    </row>
    <row r="107" spans="1:9">
      <c r="A107" s="103"/>
      <c r="C107" s="108" t="s">
        <v>32</v>
      </c>
      <c r="D107" s="1">
        <v>1</v>
      </c>
      <c r="E107" s="2">
        <v>4.8</v>
      </c>
      <c r="G107" s="108">
        <v>3</v>
      </c>
      <c r="H107" s="1">
        <f t="shared" si="2"/>
        <v>14.399999999999999</v>
      </c>
    </row>
    <row r="108" spans="1:9">
      <c r="A108" s="103"/>
      <c r="C108" s="108" t="s">
        <v>32</v>
      </c>
      <c r="D108" s="108">
        <v>1</v>
      </c>
      <c r="E108" s="2">
        <v>11.92</v>
      </c>
      <c r="G108" s="108">
        <v>3</v>
      </c>
      <c r="H108" s="108">
        <f t="shared" si="2"/>
        <v>35.76</v>
      </c>
    </row>
    <row r="109" spans="1:9">
      <c r="A109" s="103"/>
      <c r="C109" s="108" t="s">
        <v>32</v>
      </c>
      <c r="D109" s="108">
        <v>1</v>
      </c>
      <c r="E109" s="2">
        <v>10.67</v>
      </c>
      <c r="G109" s="108">
        <v>3</v>
      </c>
      <c r="H109" s="108">
        <f t="shared" si="2"/>
        <v>32.01</v>
      </c>
    </row>
    <row r="110" spans="1:9">
      <c r="A110" s="103"/>
      <c r="C110" s="108" t="s">
        <v>32</v>
      </c>
      <c r="D110" s="108">
        <v>2</v>
      </c>
      <c r="E110" s="2">
        <v>5.05</v>
      </c>
      <c r="G110" s="108">
        <v>3</v>
      </c>
      <c r="H110" s="108">
        <f t="shared" si="2"/>
        <v>30.299999999999997</v>
      </c>
    </row>
    <row r="111" spans="1:9">
      <c r="A111" s="103"/>
      <c r="C111" s="108" t="s">
        <v>32</v>
      </c>
      <c r="D111" s="108">
        <v>1</v>
      </c>
      <c r="E111" s="2">
        <v>1.03</v>
      </c>
      <c r="G111" s="108">
        <v>3</v>
      </c>
      <c r="H111" s="108">
        <f t="shared" si="2"/>
        <v>3.09</v>
      </c>
    </row>
    <row r="112" spans="1:9">
      <c r="A112" s="103"/>
      <c r="C112" s="108" t="s">
        <v>32</v>
      </c>
      <c r="D112" s="108">
        <v>1</v>
      </c>
      <c r="E112" s="108">
        <v>8.18</v>
      </c>
      <c r="G112" s="108">
        <v>3</v>
      </c>
      <c r="H112" s="114">
        <f t="shared" si="2"/>
        <v>24.54</v>
      </c>
    </row>
    <row r="113" spans="1:10">
      <c r="A113" s="103"/>
      <c r="B113" s="9"/>
      <c r="C113" s="150"/>
      <c r="D113" s="108"/>
      <c r="E113" s="2"/>
      <c r="G113" s="108"/>
      <c r="H113" s="1">
        <f>SUM(H103:H112)</f>
        <v>182.49</v>
      </c>
      <c r="I113" s="108"/>
      <c r="J113" s="1"/>
    </row>
    <row r="114" spans="1:10">
      <c r="A114" s="1"/>
      <c r="B114" s="20" t="s">
        <v>1021</v>
      </c>
      <c r="C114" s="150"/>
      <c r="D114" s="1"/>
      <c r="I114" s="108"/>
    </row>
    <row r="115" spans="1:10">
      <c r="A115" s="1"/>
      <c r="B115" s="150" t="s">
        <v>213</v>
      </c>
      <c r="C115" s="108" t="s">
        <v>32</v>
      </c>
      <c r="D115" s="108">
        <v>3</v>
      </c>
      <c r="E115" s="2">
        <v>1</v>
      </c>
      <c r="F115" s="2"/>
      <c r="G115" s="2">
        <v>2.1</v>
      </c>
      <c r="H115" s="122">
        <f>G115*E115*D115</f>
        <v>6.3000000000000007</v>
      </c>
      <c r="I115" s="108"/>
    </row>
    <row r="116" spans="1:10">
      <c r="A116" s="1"/>
      <c r="B116" s="150"/>
      <c r="C116" s="108" t="s">
        <v>32</v>
      </c>
      <c r="D116" s="108">
        <v>10</v>
      </c>
      <c r="E116" s="2">
        <v>0.75</v>
      </c>
      <c r="F116" s="2"/>
      <c r="G116" s="2">
        <v>2.1</v>
      </c>
      <c r="H116" s="122">
        <f>G116*E116*D116</f>
        <v>15.750000000000002</v>
      </c>
      <c r="I116" s="108"/>
    </row>
    <row r="117" spans="1:10">
      <c r="A117" s="1"/>
      <c r="B117" s="150" t="s">
        <v>1022</v>
      </c>
      <c r="C117" s="108" t="s">
        <v>32</v>
      </c>
      <c r="D117" s="108">
        <v>2</v>
      </c>
      <c r="E117" s="2">
        <v>1.2</v>
      </c>
      <c r="F117" s="2"/>
      <c r="G117" s="2">
        <v>1.5</v>
      </c>
      <c r="H117" s="122">
        <f>G117*E117*D117</f>
        <v>3.5999999999999996</v>
      </c>
      <c r="I117" s="150"/>
    </row>
    <row r="118" spans="1:10">
      <c r="A118" s="1"/>
      <c r="B118" s="150" t="s">
        <v>648</v>
      </c>
      <c r="C118" s="108" t="s">
        <v>32</v>
      </c>
      <c r="D118" s="108">
        <v>6</v>
      </c>
      <c r="E118" s="2">
        <v>0.6</v>
      </c>
      <c r="F118" s="2"/>
      <c r="G118" s="2">
        <v>0.6</v>
      </c>
      <c r="H118" s="114">
        <f>G118*E118*D118</f>
        <v>2.16</v>
      </c>
      <c r="I118" s="108"/>
    </row>
    <row r="119" spans="1:10">
      <c r="A119" s="1"/>
      <c r="C119" s="108"/>
      <c r="E119" s="2"/>
      <c r="H119" s="115">
        <f>SUM(H115:H118)</f>
        <v>27.810000000000006</v>
      </c>
      <c r="I119" s="108"/>
    </row>
    <row r="120" spans="1:10">
      <c r="A120" s="1"/>
      <c r="C120" s="108"/>
      <c r="E120" s="2"/>
      <c r="H120" s="115"/>
      <c r="I120" s="108"/>
    </row>
    <row r="121" spans="1:10">
      <c r="A121" s="1"/>
      <c r="B121" s="9"/>
      <c r="C121" s="8"/>
      <c r="D121" s="108"/>
      <c r="E121" s="1"/>
      <c r="F121" s="108"/>
      <c r="G121" s="108"/>
      <c r="H121" s="151">
        <f>H113-H119</f>
        <v>154.68</v>
      </c>
      <c r="I121" s="108"/>
    </row>
    <row r="122" spans="1:10">
      <c r="A122" s="1"/>
      <c r="B122" s="9"/>
      <c r="C122" s="8"/>
      <c r="D122" s="108"/>
      <c r="E122" s="1"/>
      <c r="F122" s="108"/>
      <c r="G122" s="108"/>
      <c r="H122" s="115"/>
      <c r="I122" s="108"/>
    </row>
    <row r="123" spans="1:10">
      <c r="A123" s="1"/>
      <c r="B123" s="9"/>
      <c r="C123" s="8"/>
      <c r="D123" s="108"/>
      <c r="E123" s="1"/>
      <c r="F123" s="108"/>
      <c r="G123" s="108"/>
      <c r="H123" s="115"/>
      <c r="I123" s="108"/>
    </row>
    <row r="124" spans="1:10">
      <c r="A124" s="103">
        <v>12</v>
      </c>
      <c r="B124" s="17" t="s">
        <v>1025</v>
      </c>
      <c r="C124" s="108" t="s">
        <v>32</v>
      </c>
      <c r="D124" s="108">
        <v>1</v>
      </c>
      <c r="E124" s="108">
        <v>23.65</v>
      </c>
      <c r="F124" s="108"/>
      <c r="G124" s="115">
        <v>3.1</v>
      </c>
      <c r="H124" s="114">
        <f>G124*E124*D124</f>
        <v>73.314999999999998</v>
      </c>
      <c r="I124" s="108"/>
    </row>
    <row r="125" spans="1:10">
      <c r="A125" s="1"/>
      <c r="H125" s="108">
        <f>H124</f>
        <v>73.314999999999998</v>
      </c>
      <c r="I125" s="108"/>
    </row>
    <row r="126" spans="1:10">
      <c r="A126" s="1"/>
      <c r="H126" s="108"/>
      <c r="I126" s="108"/>
    </row>
    <row r="127" spans="1:10">
      <c r="A127" s="1"/>
      <c r="B127" s="9" t="s">
        <v>1026</v>
      </c>
      <c r="C127" s="108"/>
      <c r="I127" s="108"/>
    </row>
    <row r="128" spans="1:10">
      <c r="A128" s="1"/>
      <c r="B128" s="150" t="s">
        <v>213</v>
      </c>
      <c r="C128" s="108" t="s">
        <v>32</v>
      </c>
      <c r="D128" s="108">
        <v>2</v>
      </c>
      <c r="E128" s="2">
        <v>1</v>
      </c>
      <c r="F128" s="2"/>
      <c r="G128" s="2">
        <v>2.1</v>
      </c>
      <c r="H128" s="108">
        <f>G128*E128*D128</f>
        <v>4.2</v>
      </c>
      <c r="I128" s="108"/>
    </row>
    <row r="129" spans="1:9">
      <c r="A129" s="1"/>
      <c r="B129" s="150" t="s">
        <v>1022</v>
      </c>
      <c r="C129" s="108" t="s">
        <v>32</v>
      </c>
      <c r="D129" s="108">
        <v>2</v>
      </c>
      <c r="E129" s="2">
        <v>1.2</v>
      </c>
      <c r="F129" s="2"/>
      <c r="G129" s="2">
        <v>1.5</v>
      </c>
      <c r="H129" s="108">
        <f>G129*E129*D129</f>
        <v>3.5999999999999996</v>
      </c>
      <c r="I129" s="108"/>
    </row>
    <row r="130" spans="1:9">
      <c r="A130" s="1"/>
      <c r="B130" s="150" t="s">
        <v>648</v>
      </c>
      <c r="C130" s="108" t="s">
        <v>32</v>
      </c>
      <c r="D130" s="108">
        <v>6</v>
      </c>
      <c r="E130" s="2">
        <v>0.6</v>
      </c>
      <c r="F130" s="2"/>
      <c r="G130" s="2">
        <v>0.6</v>
      </c>
      <c r="H130" s="114">
        <f>G130*E130*D130</f>
        <v>2.16</v>
      </c>
      <c r="I130" s="108"/>
    </row>
    <row r="131" spans="1:9">
      <c r="A131" s="1"/>
      <c r="C131" s="108"/>
      <c r="H131" s="108">
        <f>SUM(H128:H130)</f>
        <v>9.9600000000000009</v>
      </c>
      <c r="I131" s="108"/>
    </row>
    <row r="132" spans="1:9">
      <c r="A132" s="1"/>
      <c r="C132" s="108"/>
      <c r="H132" s="108"/>
      <c r="I132" s="108"/>
    </row>
    <row r="133" spans="1:9">
      <c r="A133" s="1"/>
      <c r="C133" s="108" t="s">
        <v>32</v>
      </c>
      <c r="H133" s="119">
        <f>H125-H131</f>
        <v>63.354999999999997</v>
      </c>
      <c r="I133" s="108"/>
    </row>
    <row r="134" spans="1:9">
      <c r="A134" s="1"/>
      <c r="H134" s="108"/>
      <c r="I134" s="108"/>
    </row>
    <row r="135" spans="1:9">
      <c r="A135" s="103">
        <v>13</v>
      </c>
      <c r="B135" t="s">
        <v>1027</v>
      </c>
      <c r="C135" s="108" t="s">
        <v>32</v>
      </c>
      <c r="D135" s="1">
        <v>1</v>
      </c>
      <c r="E135" s="1">
        <v>7.68</v>
      </c>
      <c r="F135" s="1">
        <v>4.1500000000000004</v>
      </c>
      <c r="H135" s="151">
        <f>F135*E135*D135</f>
        <v>31.872</v>
      </c>
      <c r="I135" s="108"/>
    </row>
    <row r="136" spans="1:9">
      <c r="A136" s="1"/>
      <c r="H136" s="108"/>
      <c r="I136" s="108"/>
    </row>
    <row r="137" spans="1:9">
      <c r="A137" s="103">
        <v>14</v>
      </c>
      <c r="B137" t="s">
        <v>1028</v>
      </c>
      <c r="C137" s="108" t="s">
        <v>32</v>
      </c>
      <c r="H137" s="151">
        <f>H121</f>
        <v>154.68</v>
      </c>
      <c r="I137" s="108"/>
    </row>
    <row r="138" spans="1:9">
      <c r="A138" s="103"/>
    </row>
    <row r="139" spans="1:9">
      <c r="A139" s="103">
        <v>15</v>
      </c>
      <c r="B139" t="s">
        <v>1029</v>
      </c>
      <c r="C139" s="108" t="s">
        <v>32</v>
      </c>
      <c r="H139" s="119">
        <f>H133</f>
        <v>63.354999999999997</v>
      </c>
    </row>
    <row r="140" spans="1:9">
      <c r="A140" s="103"/>
    </row>
    <row r="141" spans="1:9">
      <c r="A141" s="103">
        <v>16</v>
      </c>
      <c r="B141" s="194" t="s">
        <v>1030</v>
      </c>
      <c r="C141" s="108" t="s">
        <v>32</v>
      </c>
      <c r="D141" s="108">
        <v>2</v>
      </c>
      <c r="E141" s="108">
        <v>4.8</v>
      </c>
      <c r="G141" s="108">
        <v>2.1</v>
      </c>
      <c r="H141" s="108">
        <f>G141*E141*D141</f>
        <v>20.16</v>
      </c>
    </row>
    <row r="142" spans="1:9">
      <c r="A142" s="1"/>
      <c r="B142" s="194"/>
      <c r="C142" s="108" t="s">
        <v>32</v>
      </c>
      <c r="D142" s="108">
        <v>1</v>
      </c>
      <c r="E142" s="108">
        <v>6.2</v>
      </c>
      <c r="G142" s="108">
        <v>2.1</v>
      </c>
      <c r="H142" s="108">
        <f>G142*E142*D142</f>
        <v>13.020000000000001</v>
      </c>
    </row>
    <row r="143" spans="1:9">
      <c r="A143" s="1"/>
      <c r="C143" s="108" t="s">
        <v>32</v>
      </c>
      <c r="D143" s="108">
        <v>1</v>
      </c>
      <c r="E143" s="108">
        <v>5.05</v>
      </c>
      <c r="G143" s="108">
        <v>2.1</v>
      </c>
      <c r="H143" s="114">
        <f>G143*E143*D143</f>
        <v>10.605</v>
      </c>
    </row>
    <row r="144" spans="1:9">
      <c r="A144" s="1"/>
      <c r="H144" s="191">
        <f>H143+H142+H141</f>
        <v>43.784999999999997</v>
      </c>
    </row>
    <row r="145" spans="1:9">
      <c r="A145" s="1"/>
      <c r="H145" s="108"/>
    </row>
    <row r="146" spans="1:9">
      <c r="A146" s="1"/>
      <c r="B146" s="9" t="s">
        <v>1031</v>
      </c>
      <c r="C146" s="108" t="s">
        <v>32</v>
      </c>
      <c r="D146" s="108">
        <v>4</v>
      </c>
      <c r="E146" s="108">
        <v>0.75</v>
      </c>
      <c r="G146" s="108">
        <v>2.1</v>
      </c>
      <c r="H146" s="108">
        <f>G146*E146*D146</f>
        <v>6.3000000000000007</v>
      </c>
    </row>
    <row r="147" spans="1:9">
      <c r="A147" s="1"/>
      <c r="C147" s="108" t="s">
        <v>32</v>
      </c>
      <c r="D147" s="108">
        <v>2</v>
      </c>
      <c r="E147" s="108">
        <v>0.6</v>
      </c>
      <c r="G147" s="108">
        <v>0.6</v>
      </c>
      <c r="H147" s="114">
        <f>G147*E147*D147</f>
        <v>0.72</v>
      </c>
    </row>
    <row r="148" spans="1:9">
      <c r="A148" s="1"/>
      <c r="H148" s="113">
        <f>SUM(H146:H147)</f>
        <v>7.0200000000000005</v>
      </c>
    </row>
    <row r="149" spans="1:9">
      <c r="A149" s="1"/>
      <c r="H149" s="113"/>
    </row>
    <row r="150" spans="1:9">
      <c r="A150" s="1"/>
      <c r="H150" s="124">
        <f>H144-H148</f>
        <v>36.764999999999993</v>
      </c>
      <c r="I150" s="108"/>
    </row>
    <row r="151" spans="1:9">
      <c r="A151" s="1"/>
      <c r="H151" s="113"/>
      <c r="I151" s="108"/>
    </row>
    <row r="152" spans="1:9">
      <c r="A152" s="103">
        <v>17</v>
      </c>
      <c r="B152" t="s">
        <v>1032</v>
      </c>
      <c r="C152" s="108" t="s">
        <v>32</v>
      </c>
      <c r="D152" s="108">
        <v>2</v>
      </c>
      <c r="E152" s="108">
        <v>1.2</v>
      </c>
      <c r="F152" s="108">
        <v>1.2</v>
      </c>
      <c r="G152" s="108"/>
      <c r="H152" s="123">
        <f>F152*E152*D152</f>
        <v>2.88</v>
      </c>
      <c r="I152" s="108"/>
    </row>
    <row r="153" spans="1:9">
      <c r="A153" s="103"/>
      <c r="C153" s="108" t="s">
        <v>32</v>
      </c>
      <c r="D153" s="108">
        <v>2</v>
      </c>
      <c r="E153" s="108">
        <v>1.2</v>
      </c>
      <c r="F153" s="108">
        <v>1.33</v>
      </c>
      <c r="G153" s="108"/>
      <c r="H153" s="152">
        <f>F153*E153*D153</f>
        <v>3.1920000000000002</v>
      </c>
      <c r="I153" s="108"/>
    </row>
    <row r="154" spans="1:9">
      <c r="A154" s="103"/>
      <c r="C154" s="108"/>
      <c r="D154" s="108"/>
      <c r="E154" s="108"/>
      <c r="F154" s="108"/>
      <c r="G154" s="108"/>
      <c r="H154" s="151">
        <f>SUM(H152:H153)</f>
        <v>6.0720000000000001</v>
      </c>
      <c r="I154" s="108"/>
    </row>
    <row r="155" spans="1:9">
      <c r="A155" s="103"/>
      <c r="C155" s="108"/>
      <c r="D155" s="108"/>
      <c r="E155" s="108"/>
      <c r="F155" s="108"/>
      <c r="G155" s="108"/>
      <c r="H155" s="115"/>
      <c r="I155" s="108"/>
    </row>
    <row r="156" spans="1:9">
      <c r="A156" s="103"/>
      <c r="D156" s="108"/>
    </row>
    <row r="157" spans="1:9">
      <c r="A157" s="103">
        <v>18</v>
      </c>
      <c r="B157" t="s">
        <v>1033</v>
      </c>
      <c r="C157" s="108" t="s">
        <v>32</v>
      </c>
      <c r="D157" s="108">
        <v>1</v>
      </c>
      <c r="E157" s="108">
        <v>2.4</v>
      </c>
      <c r="F157" s="108">
        <v>2.65</v>
      </c>
      <c r="H157" s="115">
        <f>F157*E157*D157</f>
        <v>6.3599999999999994</v>
      </c>
    </row>
    <row r="158" spans="1:9">
      <c r="A158" s="1"/>
      <c r="C158" s="108" t="s">
        <v>32</v>
      </c>
      <c r="D158" s="108">
        <v>2</v>
      </c>
      <c r="E158" s="108">
        <v>0.75</v>
      </c>
      <c r="F158" s="108">
        <v>2.65</v>
      </c>
      <c r="H158" s="115">
        <f>F158*E158*D158</f>
        <v>3.9749999999999996</v>
      </c>
    </row>
    <row r="159" spans="1:9">
      <c r="A159" s="1"/>
      <c r="C159" s="108" t="s">
        <v>32</v>
      </c>
      <c r="D159" s="108">
        <v>1</v>
      </c>
      <c r="E159" s="361">
        <v>1</v>
      </c>
      <c r="F159" s="108">
        <v>7.68</v>
      </c>
      <c r="H159" s="115">
        <f>F159*E159*D159</f>
        <v>7.68</v>
      </c>
    </row>
    <row r="160" spans="1:9">
      <c r="A160" s="1"/>
      <c r="C160" s="108" t="s">
        <v>32</v>
      </c>
      <c r="D160" s="108">
        <v>2</v>
      </c>
      <c r="E160" s="108">
        <v>1</v>
      </c>
      <c r="F160" s="108">
        <v>0.5</v>
      </c>
      <c r="H160" s="152">
        <f>F160*E160*D160</f>
        <v>1</v>
      </c>
    </row>
    <row r="161" spans="1:9">
      <c r="A161" s="1"/>
      <c r="C161" s="108"/>
      <c r="H161" s="151">
        <f>SUM(H157:H160)</f>
        <v>19.015000000000001</v>
      </c>
      <c r="I161" s="108"/>
    </row>
    <row r="162" spans="1:9">
      <c r="A162" s="1"/>
      <c r="C162" s="108"/>
      <c r="H162" s="115"/>
      <c r="I162" s="108"/>
    </row>
    <row r="163" spans="1:9">
      <c r="A163" s="1"/>
      <c r="C163" s="108"/>
      <c r="H163" s="115"/>
      <c r="I163" s="108"/>
    </row>
    <row r="164" spans="1:9">
      <c r="A164" s="103">
        <v>19</v>
      </c>
      <c r="B164" t="s">
        <v>1034</v>
      </c>
      <c r="C164" s="108" t="s">
        <v>32</v>
      </c>
      <c r="D164" s="108">
        <v>2</v>
      </c>
      <c r="E164" s="108">
        <v>6.05</v>
      </c>
      <c r="G164" s="1">
        <v>0.15</v>
      </c>
      <c r="H164" s="117">
        <f>G164*E164*D164</f>
        <v>1.8149999999999999</v>
      </c>
    </row>
    <row r="165" spans="1:9">
      <c r="A165" s="103"/>
      <c r="C165" s="108" t="s">
        <v>32</v>
      </c>
      <c r="D165" s="1">
        <v>1</v>
      </c>
      <c r="E165" s="1">
        <v>14.67</v>
      </c>
      <c r="G165" s="1">
        <v>0.15</v>
      </c>
      <c r="H165" s="117">
        <f>G165*E165*D165</f>
        <v>2.2004999999999999</v>
      </c>
    </row>
    <row r="166" spans="1:9">
      <c r="A166" s="103"/>
      <c r="C166" s="108" t="s">
        <v>32</v>
      </c>
      <c r="D166" s="1">
        <v>1</v>
      </c>
      <c r="E166" s="1">
        <v>7.67</v>
      </c>
      <c r="F166" s="1"/>
      <c r="G166" s="1">
        <v>0.15</v>
      </c>
      <c r="H166" s="112">
        <f>G166*E166*D166</f>
        <v>1.1504999999999999</v>
      </c>
    </row>
    <row r="167" spans="1:9">
      <c r="A167" s="103"/>
      <c r="C167" s="108"/>
      <c r="D167" s="1"/>
      <c r="E167" s="1"/>
      <c r="F167" s="1"/>
      <c r="G167" s="1"/>
      <c r="H167" s="51">
        <f>SUM(H164:H166)</f>
        <v>5.1659999999999995</v>
      </c>
    </row>
    <row r="168" spans="1:9">
      <c r="A168" s="103"/>
    </row>
    <row r="169" spans="1:9">
      <c r="A169" s="103"/>
    </row>
    <row r="170" spans="1:9">
      <c r="A170" s="103">
        <v>20</v>
      </c>
      <c r="B170" t="s">
        <v>1035</v>
      </c>
      <c r="C170" t="s">
        <v>32</v>
      </c>
      <c r="D170" s="108">
        <v>4</v>
      </c>
      <c r="E170" s="108">
        <v>1</v>
      </c>
      <c r="G170" s="108">
        <v>2.1</v>
      </c>
      <c r="H170" s="119">
        <f>G170*E170*D170</f>
        <v>8.4</v>
      </c>
    </row>
    <row r="171" spans="1:9">
      <c r="A171" s="103">
        <v>21</v>
      </c>
      <c r="B171" t="s">
        <v>1039</v>
      </c>
      <c r="C171" t="s">
        <v>32</v>
      </c>
      <c r="D171" s="108">
        <v>3</v>
      </c>
      <c r="E171" s="108">
        <v>0.75</v>
      </c>
      <c r="G171" s="108">
        <v>2.1</v>
      </c>
      <c r="H171" s="192">
        <f>G171*E171*D171</f>
        <v>4.7250000000000005</v>
      </c>
      <c r="I171" s="108"/>
    </row>
    <row r="172" spans="1:9">
      <c r="A172" s="103">
        <v>22</v>
      </c>
      <c r="B172" s="9" t="s">
        <v>1040</v>
      </c>
      <c r="C172" s="9" t="s">
        <v>434</v>
      </c>
      <c r="D172" s="108">
        <v>3</v>
      </c>
      <c r="E172" s="108">
        <f>2.1+2.1+0.75</f>
        <v>4.95</v>
      </c>
      <c r="G172" s="108"/>
      <c r="H172" s="192">
        <f>E172*D172</f>
        <v>14.850000000000001</v>
      </c>
      <c r="I172" s="108"/>
    </row>
    <row r="173" spans="1:9">
      <c r="A173" s="1"/>
    </row>
    <row r="174" spans="1:9">
      <c r="A174" s="1"/>
    </row>
    <row r="175" spans="1:9">
      <c r="A175" s="103">
        <v>23</v>
      </c>
      <c r="B175" t="s">
        <v>1036</v>
      </c>
      <c r="C175" t="s">
        <v>32</v>
      </c>
      <c r="D175" s="108">
        <v>2</v>
      </c>
      <c r="E175" s="108">
        <v>1.2</v>
      </c>
      <c r="F175" s="108"/>
      <c r="G175" s="108">
        <v>1.5</v>
      </c>
      <c r="H175" s="119">
        <f>G175*E175*D175</f>
        <v>3.5999999999999996</v>
      </c>
      <c r="I175" s="108"/>
    </row>
    <row r="176" spans="1:9">
      <c r="A176" s="103">
        <v>24</v>
      </c>
      <c r="B176" t="s">
        <v>1037</v>
      </c>
      <c r="C176" t="s">
        <v>32</v>
      </c>
      <c r="D176" s="108">
        <v>6</v>
      </c>
      <c r="E176" s="108">
        <v>0.6</v>
      </c>
      <c r="F176" s="108"/>
      <c r="G176" s="108">
        <v>0.6</v>
      </c>
      <c r="H176" s="119">
        <f>G176*E176*D176</f>
        <v>2.16</v>
      </c>
      <c r="I176" s="108"/>
    </row>
    <row r="177" spans="1:8">
      <c r="A177" s="103">
        <v>25</v>
      </c>
      <c r="B177" s="9" t="s">
        <v>484</v>
      </c>
      <c r="C177" s="9" t="s">
        <v>434</v>
      </c>
      <c r="D177" s="108">
        <v>1</v>
      </c>
      <c r="E177" s="108">
        <v>4.5</v>
      </c>
      <c r="H177" s="1">
        <f>E177*D177</f>
        <v>4.5</v>
      </c>
    </row>
    <row r="178" spans="1:8">
      <c r="C178" s="9" t="s">
        <v>18</v>
      </c>
      <c r="H178" s="103">
        <f>H177*10.48</f>
        <v>47.160000000000004</v>
      </c>
    </row>
    <row r="180" spans="1:8">
      <c r="A180" s="103">
        <v>26</v>
      </c>
      <c r="B180" t="s">
        <v>1038</v>
      </c>
      <c r="C180" t="s">
        <v>32</v>
      </c>
      <c r="D180" s="108">
        <v>2</v>
      </c>
      <c r="E180" s="108">
        <v>0.6</v>
      </c>
      <c r="F180">
        <v>1.45</v>
      </c>
      <c r="H180" s="103">
        <f>F180*E180*D180</f>
        <v>1.74</v>
      </c>
    </row>
    <row r="181" spans="1:8">
      <c r="B181" s="9"/>
    </row>
  </sheetData>
  <mergeCells count="9">
    <mergeCell ref="E32:F32"/>
    <mergeCell ref="E37:F37"/>
    <mergeCell ref="E100:F100"/>
    <mergeCell ref="A1:H1"/>
    <mergeCell ref="E10:F10"/>
    <mergeCell ref="C14:E14"/>
    <mergeCell ref="E16:F16"/>
    <mergeCell ref="E23:F23"/>
    <mergeCell ref="E31:F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8"/>
  <sheetViews>
    <sheetView view="pageBreakPreview" zoomScale="120" zoomScaleSheetLayoutView="120" workbookViewId="0">
      <selection activeCell="B1502" sqref="B1502"/>
    </sheetView>
  </sheetViews>
  <sheetFormatPr defaultRowHeight="12.75"/>
  <cols>
    <col min="1" max="1" width="6" customWidth="1"/>
    <col min="2" max="2" width="49.140625" customWidth="1"/>
    <col min="3" max="3" width="7.7109375" style="1" customWidth="1"/>
    <col min="4" max="4" width="9" style="1" customWidth="1"/>
    <col min="5" max="5" width="8.7109375" style="1" customWidth="1"/>
    <col min="6" max="6" width="10.140625" style="1" customWidth="1"/>
    <col min="7" max="7" width="9.28515625" style="1" customWidth="1"/>
    <col min="8" max="8" width="8.5703125" style="1" bestFit="1" customWidth="1"/>
    <col min="9" max="9" width="9.5703125" style="1" customWidth="1"/>
    <col min="10" max="10" width="13.140625" style="1" customWidth="1"/>
    <col min="12" max="12" width="8.85546875" customWidth="1"/>
  </cols>
  <sheetData>
    <row r="1" spans="1:10" s="149" customFormat="1" ht="16.5">
      <c r="A1" s="1240"/>
      <c r="B1" s="1240"/>
      <c r="C1" s="1240"/>
      <c r="D1" s="1240"/>
      <c r="E1" s="1240"/>
      <c r="F1" s="1240"/>
      <c r="G1" s="121"/>
      <c r="H1" s="121"/>
      <c r="I1" s="121"/>
      <c r="J1" s="121"/>
    </row>
    <row r="2" spans="1:10" s="149" customFormat="1" ht="63.75" hidden="1">
      <c r="A2" s="133">
        <v>1</v>
      </c>
      <c r="B2" s="99" t="s">
        <v>232</v>
      </c>
      <c r="C2" s="96" t="s">
        <v>130</v>
      </c>
      <c r="D2" s="96"/>
      <c r="E2" s="96"/>
      <c r="F2" s="96"/>
      <c r="G2" s="121"/>
      <c r="H2" s="121"/>
      <c r="I2" s="121"/>
      <c r="J2" s="121"/>
    </row>
    <row r="3" spans="1:10" s="149" customFormat="1" hidden="1">
      <c r="B3" s="63" t="s">
        <v>233</v>
      </c>
      <c r="C3" s="96"/>
      <c r="D3" s="96"/>
      <c r="E3" s="96"/>
      <c r="F3" s="96"/>
      <c r="G3" s="121"/>
      <c r="H3" s="121"/>
      <c r="I3" s="121"/>
      <c r="J3" s="121"/>
    </row>
    <row r="4" spans="1:10" s="149" customFormat="1" hidden="1">
      <c r="B4" s="63" t="s">
        <v>113</v>
      </c>
      <c r="C4" s="96">
        <v>16</v>
      </c>
      <c r="D4" s="96" t="s">
        <v>114</v>
      </c>
      <c r="E4" s="96">
        <f>Lead!E47</f>
        <v>200</v>
      </c>
      <c r="F4" s="96">
        <f>C4*E4</f>
        <v>3200</v>
      </c>
      <c r="G4" s="121"/>
      <c r="H4" s="121"/>
      <c r="I4" s="121"/>
      <c r="J4" s="121"/>
    </row>
    <row r="5" spans="1:10" s="149" customFormat="1" hidden="1">
      <c r="B5" s="63" t="s">
        <v>115</v>
      </c>
      <c r="C5" s="96">
        <v>16</v>
      </c>
      <c r="D5" s="96" t="s">
        <v>114</v>
      </c>
      <c r="E5" s="96">
        <f>Lead!E48</f>
        <v>200</v>
      </c>
      <c r="F5" s="96">
        <f>C5*E5</f>
        <v>3200</v>
      </c>
      <c r="G5" s="121"/>
      <c r="H5" s="121"/>
      <c r="I5" s="121"/>
      <c r="J5" s="121"/>
    </row>
    <row r="6" spans="1:10" s="149" customFormat="1" hidden="1">
      <c r="B6" s="15" t="s">
        <v>322</v>
      </c>
      <c r="C6" s="16"/>
      <c r="D6" s="96" t="s">
        <v>116</v>
      </c>
      <c r="E6" s="96">
        <f>SUM(F4:F5)</f>
        <v>6400</v>
      </c>
      <c r="F6" s="96">
        <f>E6*0.075</f>
        <v>480</v>
      </c>
      <c r="G6" s="121"/>
      <c r="H6" s="121"/>
      <c r="I6" s="121"/>
      <c r="J6" s="121"/>
    </row>
    <row r="7" spans="1:10" s="149" customFormat="1" hidden="1">
      <c r="B7" s="63" t="s">
        <v>323</v>
      </c>
      <c r="C7" s="16"/>
      <c r="D7" s="96" t="s">
        <v>116</v>
      </c>
      <c r="E7" s="96">
        <f>SUM(F4:F5)</f>
        <v>6400</v>
      </c>
      <c r="F7" s="96">
        <f>E7*0.075</f>
        <v>480</v>
      </c>
      <c r="G7" s="121"/>
      <c r="H7" s="121"/>
      <c r="I7" s="121"/>
      <c r="J7" s="121"/>
    </row>
    <row r="8" spans="1:10" s="149" customFormat="1" hidden="1">
      <c r="B8" s="63" t="s">
        <v>117</v>
      </c>
      <c r="C8" s="96"/>
      <c r="D8" s="96"/>
      <c r="E8" s="777"/>
      <c r="F8" s="96">
        <f>SUM(F4:F7)</f>
        <v>7360</v>
      </c>
      <c r="G8" s="121"/>
      <c r="H8" s="121"/>
      <c r="I8" s="121"/>
      <c r="J8" s="121"/>
    </row>
    <row r="9" spans="1:10" s="149" customFormat="1" ht="25.5" hidden="1">
      <c r="B9" s="63" t="s">
        <v>118</v>
      </c>
      <c r="C9" s="96"/>
      <c r="D9" s="96" t="s">
        <v>116</v>
      </c>
      <c r="E9" s="96">
        <f>SUM(F4:F7)</f>
        <v>7360</v>
      </c>
      <c r="F9" s="96">
        <f>E9*0.2</f>
        <v>1472</v>
      </c>
      <c r="G9" s="121"/>
      <c r="H9" s="121"/>
      <c r="I9" s="121"/>
      <c r="J9" s="121"/>
    </row>
    <row r="10" spans="1:10" s="149" customFormat="1" hidden="1">
      <c r="B10" s="63" t="s">
        <v>119</v>
      </c>
      <c r="C10" s="96"/>
      <c r="D10" s="96"/>
      <c r="E10" s="96"/>
      <c r="F10" s="96">
        <f>SUM(F8:F9)</f>
        <v>8832</v>
      </c>
      <c r="G10" s="121"/>
      <c r="H10" s="121"/>
      <c r="I10" s="121"/>
      <c r="J10" s="121"/>
    </row>
    <row r="11" spans="1:10" s="149" customFormat="1" hidden="1">
      <c r="B11" s="63" t="s">
        <v>177</v>
      </c>
      <c r="C11" s="96"/>
      <c r="D11" s="96"/>
      <c r="E11" s="96"/>
      <c r="F11" s="96">
        <f>F10/100</f>
        <v>88.32</v>
      </c>
      <c r="G11" s="121"/>
      <c r="H11" s="121"/>
      <c r="I11" s="121"/>
      <c r="J11" s="121"/>
    </row>
    <row r="12" spans="1:10" s="149" customFormat="1" hidden="1">
      <c r="B12" s="15" t="s">
        <v>429</v>
      </c>
      <c r="C12" s="16"/>
      <c r="D12" s="16"/>
      <c r="E12" s="16"/>
      <c r="F12" s="96">
        <f>F11*1%</f>
        <v>0.88319999999999999</v>
      </c>
      <c r="G12" s="121"/>
      <c r="H12" s="121"/>
      <c r="I12" s="121"/>
      <c r="J12" s="121"/>
    </row>
    <row r="13" spans="1:10" s="149" customFormat="1" hidden="1">
      <c r="B13" s="15"/>
      <c r="C13" s="16"/>
      <c r="D13" s="16"/>
      <c r="E13" s="16"/>
      <c r="F13" s="778">
        <f>SUM(F11:F12)</f>
        <v>89.203199999999995</v>
      </c>
      <c r="G13" s="121"/>
      <c r="H13" s="121"/>
      <c r="I13" s="121"/>
      <c r="J13" s="121"/>
    </row>
    <row r="14" spans="1:10" s="149" customFormat="1" hidden="1">
      <c r="B14" s="45"/>
      <c r="C14" s="777"/>
      <c r="D14" s="777"/>
      <c r="E14" s="777" t="s">
        <v>120</v>
      </c>
      <c r="F14" s="777">
        <f>ROUND(F13,1)</f>
        <v>89.2</v>
      </c>
      <c r="G14" s="121"/>
      <c r="H14" s="121"/>
      <c r="I14" s="121"/>
      <c r="J14" s="121"/>
    </row>
    <row r="15" spans="1:10" s="149" customFormat="1" hidden="1">
      <c r="B15" s="45"/>
      <c r="C15" s="777"/>
      <c r="D15" s="777"/>
      <c r="E15" s="777"/>
      <c r="F15" s="777"/>
      <c r="G15" s="121"/>
      <c r="H15" s="121"/>
      <c r="I15" s="121"/>
      <c r="J15" s="121"/>
    </row>
    <row r="16" spans="1:10" s="149" customFormat="1" ht="25.5" hidden="1">
      <c r="A16" s="133">
        <v>2</v>
      </c>
      <c r="B16" s="190" t="s">
        <v>516</v>
      </c>
      <c r="C16" s="121"/>
      <c r="D16" s="121"/>
      <c r="E16" s="121"/>
      <c r="F16" s="120">
        <f>F8/100</f>
        <v>73.599999999999994</v>
      </c>
      <c r="G16" s="121"/>
      <c r="H16" s="121"/>
      <c r="I16" s="121"/>
      <c r="J16" s="121"/>
    </row>
    <row r="17" spans="1:10" s="149" customFormat="1" hidden="1">
      <c r="C17" s="121"/>
      <c r="D17" s="121"/>
      <c r="E17" s="121"/>
      <c r="F17" s="121">
        <f>F16*2/3</f>
        <v>49.066666666666663</v>
      </c>
      <c r="G17" s="121"/>
      <c r="H17" s="121"/>
      <c r="I17" s="121"/>
      <c r="J17" s="121"/>
    </row>
    <row r="18" spans="1:10" s="149" customFormat="1" hidden="1">
      <c r="C18" s="121"/>
      <c r="D18" s="121"/>
      <c r="E18" s="16"/>
      <c r="F18" s="96">
        <f>F17*1%</f>
        <v>0.49066666666666664</v>
      </c>
      <c r="G18" s="121"/>
      <c r="H18" s="121"/>
      <c r="I18" s="121"/>
      <c r="J18" s="121"/>
    </row>
    <row r="19" spans="1:10" s="149" customFormat="1" hidden="1">
      <c r="C19" s="121"/>
      <c r="D19" s="121"/>
      <c r="E19" s="16"/>
      <c r="F19" s="778">
        <f>SUM(F17:F18)</f>
        <v>49.557333333333332</v>
      </c>
      <c r="G19" s="121"/>
      <c r="H19" s="121"/>
      <c r="I19" s="121"/>
      <c r="J19" s="121"/>
    </row>
    <row r="20" spans="1:10" s="149" customFormat="1" hidden="1">
      <c r="C20" s="121"/>
      <c r="D20" s="121"/>
      <c r="E20" s="777" t="s">
        <v>120</v>
      </c>
      <c r="F20" s="777">
        <f>ROUND(F19,1)</f>
        <v>49.6</v>
      </c>
      <c r="G20" s="121"/>
      <c r="H20" s="121"/>
      <c r="I20" s="121"/>
      <c r="J20" s="121"/>
    </row>
    <row r="21" spans="1:10" s="149" customFormat="1" hidden="1">
      <c r="C21" s="121"/>
      <c r="D21" s="121"/>
      <c r="E21" s="121"/>
      <c r="F21" s="121"/>
      <c r="G21" s="121"/>
      <c r="H21" s="121"/>
      <c r="I21" s="121"/>
      <c r="J21" s="121"/>
    </row>
    <row r="22" spans="1:10" s="149" customFormat="1" hidden="1">
      <c r="A22" s="133">
        <v>3</v>
      </c>
      <c r="B22" s="190" t="s">
        <v>517</v>
      </c>
      <c r="C22" s="121"/>
      <c r="D22" s="121"/>
      <c r="E22" s="121"/>
      <c r="F22" s="375">
        <f>F8</f>
        <v>7360</v>
      </c>
      <c r="G22" s="771"/>
      <c r="H22" s="121"/>
      <c r="I22" s="121"/>
      <c r="J22" s="121"/>
    </row>
    <row r="23" spans="1:10" s="149" customFormat="1" hidden="1">
      <c r="C23" s="121"/>
      <c r="D23" s="121"/>
      <c r="E23" s="121"/>
      <c r="F23" s="375">
        <f>F22/100</f>
        <v>73.599999999999994</v>
      </c>
      <c r="G23" s="771"/>
      <c r="H23" s="121"/>
      <c r="I23" s="121"/>
      <c r="J23" s="121"/>
    </row>
    <row r="24" spans="1:10" s="149" customFormat="1" hidden="1">
      <c r="C24" s="121"/>
      <c r="D24" s="121"/>
      <c r="E24" s="121"/>
      <c r="F24" s="96">
        <v>156.4</v>
      </c>
      <c r="G24" s="771"/>
      <c r="H24" s="121"/>
      <c r="I24" s="121"/>
      <c r="J24" s="121"/>
    </row>
    <row r="25" spans="1:10" s="149" customFormat="1" hidden="1">
      <c r="C25" s="121"/>
      <c r="D25" s="121"/>
      <c r="E25" s="121"/>
      <c r="F25" s="777">
        <f>SUM(F23:F24)</f>
        <v>230</v>
      </c>
      <c r="G25" s="771"/>
      <c r="H25" s="121"/>
      <c r="I25" s="121"/>
      <c r="J25" s="121"/>
    </row>
    <row r="26" spans="1:10" s="149" customFormat="1" hidden="1">
      <c r="C26" s="121"/>
      <c r="D26" s="121"/>
      <c r="E26" s="121"/>
      <c r="F26" s="376">
        <f>F25*1%</f>
        <v>2.3000000000000003</v>
      </c>
      <c r="G26" s="771"/>
      <c r="H26" s="121"/>
      <c r="I26" s="121"/>
      <c r="J26" s="121"/>
    </row>
    <row r="27" spans="1:10" s="149" customFormat="1" hidden="1">
      <c r="C27" s="121"/>
      <c r="D27" s="121"/>
      <c r="E27" s="121"/>
      <c r="F27" s="375">
        <f>SUM(F25:F26)</f>
        <v>232.3</v>
      </c>
      <c r="G27" s="771"/>
      <c r="H27" s="121"/>
      <c r="I27" s="121"/>
      <c r="J27" s="121"/>
    </row>
    <row r="28" spans="1:10" s="149" customFormat="1" hidden="1">
      <c r="C28" s="121"/>
      <c r="D28" s="121"/>
      <c r="E28" s="121"/>
      <c r="F28" s="140">
        <f>ROUND(F27,1)</f>
        <v>232.3</v>
      </c>
      <c r="G28" s="772" t="s">
        <v>518</v>
      </c>
      <c r="H28" s="121"/>
      <c r="I28" s="121"/>
      <c r="J28" s="121"/>
    </row>
    <row r="29" spans="1:10" s="149" customFormat="1" hidden="1">
      <c r="C29" s="121"/>
      <c r="D29" s="121"/>
      <c r="E29" s="121"/>
      <c r="F29" s="140"/>
      <c r="G29" s="772"/>
      <c r="H29" s="121"/>
      <c r="I29" s="121"/>
      <c r="J29" s="121"/>
    </row>
    <row r="30" spans="1:10" s="149" customFormat="1" ht="25.5" hidden="1">
      <c r="A30" s="133">
        <v>4</v>
      </c>
      <c r="B30" s="129" t="s">
        <v>121</v>
      </c>
      <c r="C30" s="16" t="s">
        <v>130</v>
      </c>
      <c r="D30" s="96"/>
      <c r="E30" s="96"/>
      <c r="F30" s="16"/>
      <c r="G30" s="121"/>
      <c r="H30" s="121"/>
      <c r="I30" s="121"/>
      <c r="J30" s="121"/>
    </row>
    <row r="31" spans="1:10" s="149" customFormat="1" hidden="1">
      <c r="B31" s="129" t="s">
        <v>137</v>
      </c>
      <c r="C31" s="16"/>
      <c r="D31" s="16"/>
      <c r="E31" s="16"/>
      <c r="F31" s="16"/>
      <c r="G31" s="121"/>
      <c r="H31" s="121"/>
      <c r="I31" s="121"/>
      <c r="J31" s="121"/>
    </row>
    <row r="32" spans="1:10" s="149" customFormat="1" hidden="1">
      <c r="B32" s="3" t="s">
        <v>115</v>
      </c>
      <c r="C32" s="16">
        <v>12.36</v>
      </c>
      <c r="D32" s="16" t="s">
        <v>114</v>
      </c>
      <c r="E32" s="16">
        <f>Lead!E48</f>
        <v>200</v>
      </c>
      <c r="F32" s="16">
        <f>E32*C32</f>
        <v>2472</v>
      </c>
      <c r="G32" s="121"/>
      <c r="H32" s="121"/>
      <c r="I32" s="121"/>
      <c r="J32" s="121"/>
    </row>
    <row r="33" spans="1:10" s="149" customFormat="1" hidden="1">
      <c r="B33" s="3" t="s">
        <v>322</v>
      </c>
      <c r="C33" s="16"/>
      <c r="D33" s="16" t="s">
        <v>116</v>
      </c>
      <c r="E33" s="16">
        <f>SUM(F31:F32)</f>
        <v>2472</v>
      </c>
      <c r="F33" s="16">
        <f>E33*0.075</f>
        <v>185.4</v>
      </c>
      <c r="G33" s="121"/>
      <c r="H33" s="121"/>
      <c r="I33" s="121"/>
      <c r="J33" s="121"/>
    </row>
    <row r="34" spans="1:10" s="149" customFormat="1" hidden="1">
      <c r="B34" s="63" t="s">
        <v>323</v>
      </c>
      <c r="C34" s="16"/>
      <c r="D34" s="16" t="s">
        <v>116</v>
      </c>
      <c r="E34" s="16">
        <f>SUM(F31:F32)</f>
        <v>2472</v>
      </c>
      <c r="F34" s="16">
        <f>E34*0.075</f>
        <v>185.4</v>
      </c>
      <c r="G34" s="121"/>
      <c r="H34" s="121"/>
      <c r="I34" s="121"/>
      <c r="J34" s="121"/>
    </row>
    <row r="35" spans="1:10" s="149" customFormat="1" hidden="1">
      <c r="B35" s="129" t="s">
        <v>131</v>
      </c>
      <c r="C35" s="16"/>
      <c r="D35" s="16"/>
      <c r="E35" s="16"/>
      <c r="F35" s="16"/>
      <c r="G35" s="121"/>
      <c r="H35" s="121"/>
      <c r="I35" s="121"/>
      <c r="J35" s="121"/>
    </row>
    <row r="36" spans="1:10" s="149" customFormat="1" hidden="1">
      <c r="B36" s="3" t="s">
        <v>122</v>
      </c>
      <c r="C36" s="16">
        <v>100</v>
      </c>
      <c r="D36" s="16" t="s">
        <v>123</v>
      </c>
      <c r="E36" s="16">
        <f>Lead!E22</f>
        <v>48</v>
      </c>
      <c r="F36" s="16">
        <f>E36*C36</f>
        <v>4800</v>
      </c>
      <c r="G36" s="121"/>
      <c r="H36" s="121"/>
      <c r="I36" s="121"/>
      <c r="J36" s="121"/>
    </row>
    <row r="37" spans="1:10" s="149" customFormat="1" hidden="1">
      <c r="B37" s="99" t="s">
        <v>124</v>
      </c>
      <c r="C37" s="16"/>
      <c r="D37" s="16"/>
      <c r="E37" s="16"/>
      <c r="F37" s="16"/>
      <c r="G37" s="121"/>
      <c r="H37" s="121"/>
      <c r="I37" s="121"/>
      <c r="J37" s="121"/>
    </row>
    <row r="38" spans="1:10" s="149" customFormat="1" hidden="1">
      <c r="B38" s="3" t="s">
        <v>122</v>
      </c>
      <c r="C38" s="16">
        <v>100</v>
      </c>
      <c r="D38" s="16" t="s">
        <v>123</v>
      </c>
      <c r="E38" s="16">
        <f>Lead!J22</f>
        <v>196.4</v>
      </c>
      <c r="F38" s="16">
        <f>E38*C38</f>
        <v>19640</v>
      </c>
      <c r="G38" s="121"/>
      <c r="H38" s="121"/>
      <c r="I38" s="121"/>
      <c r="J38" s="121"/>
    </row>
    <row r="39" spans="1:10" s="149" customFormat="1" hidden="1">
      <c r="B39" s="3" t="s">
        <v>117</v>
      </c>
      <c r="C39" s="16"/>
      <c r="D39" s="16"/>
      <c r="E39" s="16"/>
      <c r="F39" s="16">
        <f>SUM(F32:F38)</f>
        <v>27282.799999999999</v>
      </c>
      <c r="G39" s="121"/>
      <c r="H39" s="121"/>
      <c r="I39" s="121"/>
      <c r="J39" s="121"/>
    </row>
    <row r="40" spans="1:10" s="149" customFormat="1" hidden="1">
      <c r="B40" s="63" t="s">
        <v>177</v>
      </c>
      <c r="C40" s="16"/>
      <c r="D40" s="16"/>
      <c r="E40" s="16"/>
      <c r="F40" s="16">
        <f>F39/100</f>
        <v>272.82799999999997</v>
      </c>
      <c r="G40" s="121"/>
      <c r="H40" s="121"/>
      <c r="I40" s="121"/>
      <c r="J40" s="121"/>
    </row>
    <row r="41" spans="1:10" s="149" customFormat="1" hidden="1">
      <c r="B41" s="15" t="s">
        <v>429</v>
      </c>
      <c r="C41" s="16"/>
      <c r="D41" s="16"/>
      <c r="E41" s="16"/>
      <c r="F41" s="96">
        <f>F40*1%</f>
        <v>2.7282799999999998</v>
      </c>
      <c r="G41" s="121"/>
      <c r="H41" s="121"/>
      <c r="I41" s="121"/>
      <c r="J41" s="121"/>
    </row>
    <row r="42" spans="1:10" s="149" customFormat="1" hidden="1">
      <c r="B42" s="15"/>
      <c r="C42" s="16"/>
      <c r="D42" s="16"/>
      <c r="E42" s="16"/>
      <c r="F42" s="778">
        <f>SUM(F40:F41)</f>
        <v>275.55627999999996</v>
      </c>
      <c r="G42" s="121"/>
      <c r="H42" s="121"/>
      <c r="I42" s="121"/>
      <c r="J42" s="121"/>
    </row>
    <row r="43" spans="1:10" s="149" customFormat="1" hidden="1">
      <c r="B43" s="131"/>
      <c r="C43" s="140"/>
      <c r="D43" s="140"/>
      <c r="E43" s="777" t="s">
        <v>120</v>
      </c>
      <c r="F43" s="777">
        <f>ROUND(F42,1)</f>
        <v>275.60000000000002</v>
      </c>
      <c r="G43" s="121"/>
      <c r="H43" s="121"/>
      <c r="I43" s="121"/>
      <c r="J43" s="121"/>
    </row>
    <row r="44" spans="1:10" s="149" customFormat="1" hidden="1">
      <c r="A44" s="249"/>
      <c r="B44" s="356"/>
      <c r="C44" s="364"/>
      <c r="D44" s="364"/>
      <c r="E44" s="364"/>
      <c r="F44" s="364"/>
      <c r="G44" s="121"/>
      <c r="H44" s="121"/>
      <c r="I44" s="121"/>
      <c r="J44" s="121"/>
    </row>
    <row r="45" spans="1:10" s="149" customFormat="1" ht="38.25" hidden="1">
      <c r="A45" s="133">
        <v>5</v>
      </c>
      <c r="B45" s="377" t="s">
        <v>499</v>
      </c>
      <c r="C45" s="121"/>
      <c r="D45" s="121"/>
      <c r="E45" s="121"/>
      <c r="F45" s="121"/>
      <c r="G45" s="121"/>
      <c r="H45" s="121"/>
      <c r="I45" s="121"/>
      <c r="J45" s="121"/>
    </row>
    <row r="46" spans="1:10" s="149" customFormat="1" hidden="1">
      <c r="B46" s="149" t="s">
        <v>500</v>
      </c>
      <c r="C46" s="121"/>
      <c r="D46" s="121"/>
      <c r="E46" s="121"/>
      <c r="F46" s="121"/>
      <c r="G46" s="121"/>
      <c r="H46" s="121"/>
      <c r="I46" s="121"/>
      <c r="J46" s="121"/>
    </row>
    <row r="47" spans="1:10" s="149" customFormat="1" hidden="1">
      <c r="A47" s="4" t="s">
        <v>37</v>
      </c>
      <c r="B47" s="149" t="s">
        <v>501</v>
      </c>
      <c r="C47" s="121"/>
      <c r="D47" s="121"/>
      <c r="E47" s="121"/>
      <c r="F47" s="121"/>
      <c r="G47" s="121"/>
      <c r="H47" s="121"/>
      <c r="I47" s="121"/>
      <c r="J47" s="121"/>
    </row>
    <row r="48" spans="1:10" s="149" customFormat="1" hidden="1">
      <c r="B48" s="36" t="s">
        <v>502</v>
      </c>
      <c r="C48" s="121"/>
      <c r="D48" s="121"/>
      <c r="E48" s="121"/>
      <c r="F48" s="121"/>
      <c r="G48" s="121"/>
      <c r="H48" s="121"/>
      <c r="I48" s="121"/>
      <c r="J48" s="121"/>
    </row>
    <row r="49" spans="2:10" s="149" customFormat="1" hidden="1">
      <c r="B49" s="149" t="s">
        <v>503</v>
      </c>
      <c r="C49" s="120">
        <v>8.1</v>
      </c>
      <c r="D49" s="121" t="s">
        <v>432</v>
      </c>
      <c r="E49" s="120">
        <f>Lead!E8</f>
        <v>1139</v>
      </c>
      <c r="F49" s="120">
        <f>E49*C49</f>
        <v>9225.9</v>
      </c>
      <c r="G49" s="121"/>
      <c r="H49" s="121"/>
      <c r="I49" s="121"/>
      <c r="J49" s="121"/>
    </row>
    <row r="50" spans="2:10" s="149" customFormat="1" hidden="1">
      <c r="B50" s="149" t="s">
        <v>504</v>
      </c>
      <c r="C50" s="120">
        <v>5.4</v>
      </c>
      <c r="D50" s="121" t="s">
        <v>432</v>
      </c>
      <c r="E50" s="120">
        <f>Lead!E14</f>
        <v>1215</v>
      </c>
      <c r="F50" s="120">
        <f>E50*C50</f>
        <v>6561</v>
      </c>
      <c r="G50" s="121"/>
      <c r="H50" s="121"/>
      <c r="I50" s="121"/>
      <c r="J50" s="121"/>
    </row>
    <row r="51" spans="2:10" s="149" customFormat="1" hidden="1">
      <c r="B51" s="149" t="s">
        <v>162</v>
      </c>
      <c r="C51" s="120">
        <v>6.75</v>
      </c>
      <c r="D51" s="121" t="s">
        <v>432</v>
      </c>
      <c r="E51" s="120">
        <f>Lead!E20</f>
        <v>55</v>
      </c>
      <c r="F51" s="120">
        <f>E51*C51</f>
        <v>371.25</v>
      </c>
      <c r="G51" s="121"/>
      <c r="H51" s="121"/>
      <c r="I51" s="121"/>
      <c r="J51" s="121"/>
    </row>
    <row r="52" spans="2:10" s="149" customFormat="1" hidden="1">
      <c r="B52" s="149" t="s">
        <v>178</v>
      </c>
      <c r="C52" s="120">
        <v>52.1</v>
      </c>
      <c r="D52" s="121" t="s">
        <v>420</v>
      </c>
      <c r="E52" s="120">
        <f>Lead!E29</f>
        <v>650</v>
      </c>
      <c r="F52" s="120">
        <f>E52*C52</f>
        <v>33865</v>
      </c>
      <c r="G52" s="121"/>
      <c r="H52" s="121"/>
      <c r="I52" s="121"/>
      <c r="J52" s="121"/>
    </row>
    <row r="53" spans="2:10" s="149" customFormat="1" hidden="1">
      <c r="B53" s="36" t="s">
        <v>505</v>
      </c>
      <c r="C53" s="121"/>
      <c r="D53" s="121"/>
      <c r="E53" s="121"/>
      <c r="F53" s="120"/>
      <c r="G53" s="121"/>
      <c r="H53" s="121"/>
      <c r="I53" s="121"/>
      <c r="J53" s="121"/>
    </row>
    <row r="54" spans="2:10" s="149" customFormat="1" hidden="1">
      <c r="B54" s="149" t="s">
        <v>26</v>
      </c>
      <c r="C54" s="120">
        <v>0.86</v>
      </c>
      <c r="D54" s="121" t="s">
        <v>506</v>
      </c>
      <c r="E54" s="120">
        <f>Lead!E54</f>
        <v>220</v>
      </c>
      <c r="F54" s="120">
        <f>E54*C54</f>
        <v>189.2</v>
      </c>
      <c r="G54" s="121"/>
      <c r="H54" s="121"/>
      <c r="I54" s="121"/>
      <c r="J54" s="121"/>
    </row>
    <row r="55" spans="2:10" s="149" customFormat="1" hidden="1">
      <c r="B55" s="149" t="s">
        <v>138</v>
      </c>
      <c r="C55" s="120">
        <v>1.5</v>
      </c>
      <c r="D55" s="121" t="s">
        <v>506</v>
      </c>
      <c r="E55" s="120">
        <f>Lead!E58</f>
        <v>240</v>
      </c>
      <c r="F55" s="120">
        <f>E55*C55</f>
        <v>360</v>
      </c>
      <c r="G55" s="121"/>
      <c r="H55" s="121"/>
      <c r="I55" s="121"/>
      <c r="J55" s="121"/>
    </row>
    <row r="56" spans="2:10" s="149" customFormat="1" hidden="1">
      <c r="B56" s="149" t="s">
        <v>507</v>
      </c>
      <c r="C56" s="120">
        <v>20</v>
      </c>
      <c r="D56" s="121" t="s">
        <v>506</v>
      </c>
      <c r="E56" s="120">
        <f>Lead!E47</f>
        <v>200</v>
      </c>
      <c r="F56" s="120">
        <f>E56*C56</f>
        <v>4000</v>
      </c>
      <c r="G56" s="120"/>
      <c r="H56" s="121"/>
      <c r="I56" s="121"/>
      <c r="J56" s="121"/>
    </row>
    <row r="57" spans="2:10" s="149" customFormat="1" hidden="1">
      <c r="B57" s="36" t="s">
        <v>508</v>
      </c>
      <c r="C57" s="121"/>
      <c r="D57" s="121"/>
      <c r="E57" s="121"/>
      <c r="F57" s="120"/>
      <c r="G57" s="120"/>
      <c r="H57" s="121"/>
      <c r="I57" s="121"/>
      <c r="J57" s="121"/>
    </row>
    <row r="58" spans="2:10" s="149" customFormat="1" hidden="1">
      <c r="B58" s="149" t="s">
        <v>509</v>
      </c>
      <c r="C58" s="120">
        <v>6</v>
      </c>
      <c r="D58" s="121" t="s">
        <v>510</v>
      </c>
      <c r="E58" s="120">
        <f>Lead!E75</f>
        <v>177</v>
      </c>
      <c r="F58" s="120">
        <f>E58*C58</f>
        <v>1062</v>
      </c>
      <c r="G58" s="121"/>
      <c r="H58" s="121"/>
      <c r="I58" s="121"/>
      <c r="J58" s="121"/>
    </row>
    <row r="59" spans="2:10" s="149" customFormat="1" hidden="1">
      <c r="B59" s="149" t="s">
        <v>511</v>
      </c>
      <c r="C59" s="120">
        <v>6</v>
      </c>
      <c r="D59" s="121" t="s">
        <v>510</v>
      </c>
      <c r="E59" s="120">
        <f>Lead!J75</f>
        <v>240</v>
      </c>
      <c r="F59" s="120">
        <f>E59*C59</f>
        <v>1440</v>
      </c>
      <c r="G59" s="121"/>
      <c r="H59" s="121"/>
      <c r="I59" s="121"/>
      <c r="J59" s="121"/>
    </row>
    <row r="60" spans="2:10" s="149" customFormat="1" hidden="1">
      <c r="C60" s="120"/>
      <c r="D60" s="121"/>
      <c r="E60" s="120"/>
      <c r="F60" s="378">
        <f>SUM(F49:F59)</f>
        <v>57074.35</v>
      </c>
      <c r="G60" s="121"/>
      <c r="H60" s="121"/>
      <c r="I60" s="121"/>
      <c r="J60" s="121"/>
    </row>
    <row r="61" spans="2:10" s="149" customFormat="1" hidden="1">
      <c r="B61" s="149" t="s">
        <v>512</v>
      </c>
      <c r="C61" s="120"/>
      <c r="D61" s="121"/>
      <c r="E61" s="120"/>
      <c r="F61" s="120">
        <f>F60*7.5%</f>
        <v>4280.5762500000001</v>
      </c>
      <c r="G61" s="121"/>
      <c r="H61" s="121"/>
      <c r="I61" s="121"/>
      <c r="J61" s="121"/>
    </row>
    <row r="62" spans="2:10" s="149" customFormat="1" hidden="1">
      <c r="B62" s="149" t="s">
        <v>498</v>
      </c>
      <c r="C62" s="120"/>
      <c r="D62" s="121"/>
      <c r="E62" s="120"/>
      <c r="F62" s="120">
        <f>F60*7.5%</f>
        <v>4280.5762500000001</v>
      </c>
      <c r="G62" s="121"/>
      <c r="H62" s="121"/>
      <c r="I62" s="121"/>
      <c r="J62" s="121"/>
    </row>
    <row r="63" spans="2:10" s="149" customFormat="1" hidden="1">
      <c r="C63" s="120"/>
      <c r="D63" s="121"/>
      <c r="E63" s="120"/>
      <c r="F63" s="378">
        <f>SUM(F60:F62)</f>
        <v>65635.502500000002</v>
      </c>
      <c r="G63" s="121"/>
      <c r="H63" s="121"/>
      <c r="I63" s="121"/>
      <c r="J63" s="121"/>
    </row>
    <row r="64" spans="2:10" s="149" customFormat="1" hidden="1">
      <c r="B64" s="36" t="s">
        <v>1041</v>
      </c>
      <c r="C64" s="121"/>
      <c r="D64" s="121"/>
      <c r="E64" s="121"/>
      <c r="F64" s="120"/>
      <c r="G64" s="121"/>
      <c r="H64" s="121"/>
      <c r="I64" s="121"/>
      <c r="J64" s="121"/>
    </row>
    <row r="65" spans="1:10" s="149" customFormat="1" hidden="1">
      <c r="B65" s="149" t="s">
        <v>513</v>
      </c>
      <c r="C65" s="120">
        <v>13.5</v>
      </c>
      <c r="D65" s="121" t="s">
        <v>432</v>
      </c>
      <c r="E65" s="120">
        <f>Lead!J5</f>
        <v>335.2</v>
      </c>
      <c r="F65" s="120">
        <f>E65*C65</f>
        <v>4525.2</v>
      </c>
      <c r="G65" s="121"/>
      <c r="H65" s="121"/>
      <c r="I65" s="121"/>
      <c r="J65" s="121"/>
    </row>
    <row r="66" spans="1:10" s="149" customFormat="1" hidden="1">
      <c r="B66" s="149" t="s">
        <v>162</v>
      </c>
      <c r="C66" s="120">
        <v>6.75</v>
      </c>
      <c r="D66" s="121" t="s">
        <v>432</v>
      </c>
      <c r="E66" s="120">
        <f>Lead!J20</f>
        <v>196.4</v>
      </c>
      <c r="F66" s="120">
        <f>E66*C66</f>
        <v>1325.7</v>
      </c>
      <c r="G66" s="121"/>
      <c r="H66" s="121"/>
      <c r="I66" s="121"/>
      <c r="J66" s="121"/>
    </row>
    <row r="67" spans="1:10" s="149" customFormat="1" hidden="1">
      <c r="B67" s="149" t="s">
        <v>178</v>
      </c>
      <c r="C67" s="120">
        <v>52.1</v>
      </c>
      <c r="D67" s="121" t="s">
        <v>420</v>
      </c>
      <c r="E67" s="120">
        <f>Lead!J29</f>
        <v>16.899999999999999</v>
      </c>
      <c r="F67" s="120">
        <f>E67*C67</f>
        <v>880.4899999999999</v>
      </c>
      <c r="G67" s="121"/>
      <c r="H67" s="121"/>
      <c r="I67" s="121"/>
      <c r="J67" s="121"/>
    </row>
    <row r="68" spans="1:10" s="149" customFormat="1" hidden="1">
      <c r="C68" s="120"/>
      <c r="D68" s="121"/>
      <c r="E68" s="120"/>
      <c r="F68" s="378">
        <f>SUM(F63:F67)</f>
        <v>72366.892500000002</v>
      </c>
      <c r="G68" s="121" t="s">
        <v>514</v>
      </c>
      <c r="H68" s="121"/>
      <c r="I68" s="121"/>
      <c r="J68" s="121"/>
    </row>
    <row r="69" spans="1:10" s="149" customFormat="1" hidden="1">
      <c r="C69" s="120"/>
      <c r="D69" s="121"/>
      <c r="E69" s="120"/>
      <c r="F69" s="120">
        <f>F68/15</f>
        <v>4824.4594999999999</v>
      </c>
      <c r="G69" s="121" t="s">
        <v>433</v>
      </c>
      <c r="H69" s="121"/>
      <c r="I69" s="121"/>
      <c r="J69" s="121"/>
    </row>
    <row r="70" spans="1:10" s="149" customFormat="1" hidden="1">
      <c r="B70" s="149" t="s">
        <v>515</v>
      </c>
      <c r="C70" s="120"/>
      <c r="D70" s="121"/>
      <c r="E70" s="120"/>
      <c r="F70" s="120">
        <f>F69*1%</f>
        <v>48.244595000000004</v>
      </c>
      <c r="G70" s="121"/>
      <c r="H70" s="121"/>
      <c r="I70" s="121"/>
      <c r="J70" s="121"/>
    </row>
    <row r="71" spans="1:10" s="149" customFormat="1" hidden="1">
      <c r="B71" s="149" t="s">
        <v>117</v>
      </c>
      <c r="C71" s="120"/>
      <c r="D71" s="121"/>
      <c r="E71" s="140" t="s">
        <v>426</v>
      </c>
      <c r="F71" s="378">
        <f>SUM(F69:F70)</f>
        <v>4872.7040950000001</v>
      </c>
      <c r="G71" s="121" t="s">
        <v>433</v>
      </c>
      <c r="H71" s="121"/>
      <c r="I71" s="121"/>
      <c r="J71" s="121"/>
    </row>
    <row r="72" spans="1:10" s="149" customFormat="1" hidden="1">
      <c r="C72" s="120"/>
      <c r="D72" s="121"/>
      <c r="E72" s="140" t="s">
        <v>1048</v>
      </c>
      <c r="F72" s="140">
        <f>ROUND(F71,0)</f>
        <v>4873</v>
      </c>
      <c r="G72" s="135" t="s">
        <v>433</v>
      </c>
      <c r="H72" s="121"/>
      <c r="I72" s="121"/>
      <c r="J72" s="121"/>
    </row>
    <row r="73" spans="1:10" s="149" customFormat="1" hidden="1">
      <c r="C73" s="121"/>
      <c r="D73" s="121"/>
      <c r="E73" s="121"/>
      <c r="F73" s="121"/>
      <c r="G73" s="121"/>
      <c r="H73" s="121"/>
      <c r="I73" s="121"/>
      <c r="J73" s="121"/>
    </row>
    <row r="74" spans="1:10" s="20" customFormat="1" hidden="1">
      <c r="A74" s="5" t="s">
        <v>38</v>
      </c>
      <c r="B74" s="15" t="s">
        <v>71</v>
      </c>
      <c r="C74" s="96" t="s">
        <v>130</v>
      </c>
      <c r="D74" s="96"/>
      <c r="E74" s="96"/>
      <c r="F74" s="16"/>
      <c r="G74" s="4"/>
      <c r="H74" s="4"/>
    </row>
    <row r="75" spans="1:10" s="20" customFormat="1" hidden="1">
      <c r="A75" s="5"/>
      <c r="B75" s="15" t="s">
        <v>268</v>
      </c>
      <c r="C75" s="16"/>
      <c r="D75" s="96"/>
      <c r="E75" s="96"/>
      <c r="F75" s="96">
        <f>F72</f>
        <v>4873</v>
      </c>
      <c r="G75" s="4"/>
      <c r="H75" s="57"/>
    </row>
    <row r="76" spans="1:10" s="20" customFormat="1" hidden="1">
      <c r="A76" s="5"/>
      <c r="B76" s="62" t="s">
        <v>275</v>
      </c>
      <c r="C76" s="16"/>
      <c r="D76" s="4"/>
      <c r="E76" s="97">
        <f>(((F54+F55+F56)+(F54+F55+F56)*0.15)/15)</f>
        <v>348.77199999999999</v>
      </c>
      <c r="F76" s="97">
        <f>E76*0.15</f>
        <v>52.315799999999996</v>
      </c>
      <c r="G76" s="4"/>
      <c r="H76" s="57"/>
    </row>
    <row r="77" spans="1:10" s="20" customFormat="1" hidden="1">
      <c r="A77" s="5"/>
      <c r="B77" s="63" t="s">
        <v>119</v>
      </c>
      <c r="C77" s="16"/>
      <c r="D77" s="16"/>
      <c r="E77" s="16"/>
      <c r="F77" s="16">
        <f>SUM(F75:F76)</f>
        <v>4925.3158000000003</v>
      </c>
      <c r="G77" s="4"/>
      <c r="H77" s="16"/>
    </row>
    <row r="78" spans="1:10" s="20" customFormat="1" hidden="1">
      <c r="A78" s="5"/>
      <c r="B78" s="45"/>
      <c r="C78" s="777"/>
      <c r="D78" s="777"/>
      <c r="E78" s="777" t="s">
        <v>120</v>
      </c>
      <c r="F78" s="777">
        <f>ROUND(F77,1)</f>
        <v>4925.3</v>
      </c>
      <c r="G78" s="135" t="s">
        <v>433</v>
      </c>
      <c r="H78" s="773"/>
    </row>
    <row r="79" spans="1:10" s="20" customFormat="1" hidden="1">
      <c r="A79" s="5" t="s">
        <v>39</v>
      </c>
      <c r="B79" s="15" t="s">
        <v>267</v>
      </c>
      <c r="C79" s="96" t="s">
        <v>130</v>
      </c>
      <c r="D79" s="96"/>
      <c r="E79" s="777"/>
      <c r="F79" s="777"/>
      <c r="G79" s="4"/>
      <c r="H79" s="4"/>
      <c r="I79" s="116"/>
    </row>
    <row r="80" spans="1:10" s="20" customFormat="1" hidden="1">
      <c r="A80" s="5"/>
      <c r="B80" s="15" t="s">
        <v>317</v>
      </c>
      <c r="C80" s="16"/>
      <c r="D80" s="96"/>
      <c r="E80" s="96"/>
      <c r="F80" s="96">
        <f>F77</f>
        <v>4925.3158000000003</v>
      </c>
      <c r="G80" s="16"/>
      <c r="H80" s="4"/>
    </row>
    <row r="81" spans="1:10" s="20" customFormat="1" hidden="1">
      <c r="A81" s="5"/>
      <c r="B81" s="62" t="s">
        <v>276</v>
      </c>
      <c r="C81" s="16"/>
      <c r="D81" s="16"/>
      <c r="E81" s="16">
        <f>E76+F76</f>
        <v>401.08780000000002</v>
      </c>
      <c r="F81" s="97">
        <f>E81*0.15</f>
        <v>60.163170000000001</v>
      </c>
      <c r="G81" s="97"/>
      <c r="H81" s="4"/>
      <c r="I81" s="116"/>
    </row>
    <row r="82" spans="1:10" s="20" customFormat="1" hidden="1">
      <c r="A82" s="5"/>
      <c r="B82" s="63" t="s">
        <v>119</v>
      </c>
      <c r="C82" s="16"/>
      <c r="D82" s="16"/>
      <c r="E82" s="16"/>
      <c r="F82" s="16">
        <f>SUM(F80:F81)</f>
        <v>4985.4789700000001</v>
      </c>
      <c r="G82" s="16"/>
      <c r="H82" s="16"/>
    </row>
    <row r="83" spans="1:10" s="20" customFormat="1" hidden="1">
      <c r="A83" s="5"/>
      <c r="B83" s="45"/>
      <c r="C83" s="777"/>
      <c r="D83" s="777"/>
      <c r="E83" s="777" t="s">
        <v>120</v>
      </c>
      <c r="F83" s="777">
        <f>ROUND(F82,1)</f>
        <v>4985.5</v>
      </c>
      <c r="G83" s="135" t="s">
        <v>433</v>
      </c>
      <c r="H83" s="16"/>
      <c r="I83" s="50"/>
    </row>
    <row r="84" spans="1:10" s="20" customFormat="1" hidden="1">
      <c r="A84" s="5"/>
      <c r="B84" s="45"/>
      <c r="C84" s="777"/>
      <c r="D84" s="777"/>
      <c r="E84" s="777"/>
      <c r="F84" s="777"/>
      <c r="G84" s="4"/>
      <c r="H84" s="16"/>
      <c r="I84" s="50"/>
    </row>
    <row r="85" spans="1:10" s="149" customFormat="1" ht="25.5" hidden="1">
      <c r="A85" s="133">
        <v>6</v>
      </c>
      <c r="B85" s="99" t="s">
        <v>129</v>
      </c>
      <c r="C85" s="96" t="s">
        <v>130</v>
      </c>
      <c r="D85" s="96"/>
      <c r="E85" s="96"/>
      <c r="F85" s="16"/>
      <c r="G85" s="121"/>
      <c r="H85" s="121"/>
      <c r="I85" s="121"/>
      <c r="J85" s="121"/>
    </row>
    <row r="86" spans="1:10" s="149" customFormat="1" hidden="1">
      <c r="B86" s="99" t="s">
        <v>131</v>
      </c>
      <c r="C86" s="16"/>
      <c r="D86" s="16"/>
      <c r="E86" s="16"/>
      <c r="F86" s="16"/>
      <c r="G86" s="121"/>
      <c r="H86" s="121"/>
      <c r="I86" s="121"/>
      <c r="J86" s="121"/>
    </row>
    <row r="87" spans="1:10" s="149" customFormat="1" hidden="1">
      <c r="B87" s="15" t="s">
        <v>132</v>
      </c>
      <c r="C87" s="96" t="s">
        <v>133</v>
      </c>
      <c r="D87" s="96" t="s">
        <v>123</v>
      </c>
      <c r="E87" s="96">
        <f>Lead!E5</f>
        <v>780</v>
      </c>
      <c r="F87" s="96">
        <f>E87*C87</f>
        <v>748.8</v>
      </c>
      <c r="G87" s="121"/>
      <c r="H87" s="121"/>
      <c r="I87" s="121"/>
      <c r="J87" s="121"/>
    </row>
    <row r="88" spans="1:10" s="149" customFormat="1" hidden="1">
      <c r="B88" s="15" t="s">
        <v>134</v>
      </c>
      <c r="C88" s="96" t="s">
        <v>135</v>
      </c>
      <c r="D88" s="96" t="s">
        <v>123</v>
      </c>
      <c r="E88" s="96">
        <f>Lead!E20</f>
        <v>55</v>
      </c>
      <c r="F88" s="96">
        <f>E88*C88</f>
        <v>26.4</v>
      </c>
      <c r="G88" s="121"/>
      <c r="H88" s="121"/>
      <c r="I88" s="121"/>
      <c r="J88" s="121"/>
    </row>
    <row r="89" spans="1:10" s="149" customFormat="1" hidden="1">
      <c r="B89" s="15" t="s">
        <v>136</v>
      </c>
      <c r="C89" s="96">
        <v>1.72</v>
      </c>
      <c r="D89" s="96" t="s">
        <v>127</v>
      </c>
      <c r="E89" s="96">
        <f>Lead!E29</f>
        <v>650</v>
      </c>
      <c r="F89" s="96">
        <f>E89*C89</f>
        <v>1118</v>
      </c>
      <c r="G89" s="121"/>
      <c r="H89" s="121"/>
      <c r="I89" s="121"/>
      <c r="J89" s="121"/>
    </row>
    <row r="90" spans="1:10" s="149" customFormat="1" hidden="1">
      <c r="B90" s="99" t="s">
        <v>137</v>
      </c>
      <c r="C90" s="16"/>
      <c r="D90" s="16"/>
      <c r="E90" s="16"/>
      <c r="F90" s="16"/>
      <c r="G90" s="121"/>
      <c r="H90" s="121"/>
      <c r="I90" s="121"/>
      <c r="J90" s="121"/>
    </row>
    <row r="91" spans="1:10" s="149" customFormat="1" hidden="1">
      <c r="B91" s="15" t="s">
        <v>138</v>
      </c>
      <c r="C91" s="96" t="s">
        <v>139</v>
      </c>
      <c r="D91" s="96" t="s">
        <v>114</v>
      </c>
      <c r="E91" s="96">
        <f>Lead!E58</f>
        <v>240</v>
      </c>
      <c r="F91" s="96">
        <f>E91*C91</f>
        <v>43.199999999999996</v>
      </c>
      <c r="G91" s="121"/>
      <c r="H91" s="121"/>
      <c r="I91" s="121"/>
      <c r="J91" s="121"/>
    </row>
    <row r="92" spans="1:10" s="149" customFormat="1" hidden="1">
      <c r="B92" s="15" t="s">
        <v>113</v>
      </c>
      <c r="C92" s="96">
        <v>1.8</v>
      </c>
      <c r="D92" s="96" t="s">
        <v>114</v>
      </c>
      <c r="E92" s="96">
        <f>Lead!E47</f>
        <v>200</v>
      </c>
      <c r="F92" s="96">
        <f>E92*C92</f>
        <v>360</v>
      </c>
      <c r="G92" s="121"/>
      <c r="H92" s="121"/>
      <c r="I92" s="121"/>
      <c r="J92" s="121"/>
    </row>
    <row r="93" spans="1:10" s="149" customFormat="1" hidden="1">
      <c r="B93" s="15" t="s">
        <v>115</v>
      </c>
      <c r="C93" s="96" t="s">
        <v>140</v>
      </c>
      <c r="D93" s="96" t="s">
        <v>114</v>
      </c>
      <c r="E93" s="96">
        <f>Lead!E48</f>
        <v>200</v>
      </c>
      <c r="F93" s="96">
        <f>E93*C93</f>
        <v>280</v>
      </c>
      <c r="G93" s="121"/>
      <c r="H93" s="121"/>
      <c r="I93" s="121"/>
      <c r="J93" s="121"/>
    </row>
    <row r="94" spans="1:10" s="149" customFormat="1" ht="25.5" hidden="1">
      <c r="B94" s="15" t="s">
        <v>156</v>
      </c>
      <c r="C94" s="96">
        <v>0.7</v>
      </c>
      <c r="D94" s="96" t="s">
        <v>114</v>
      </c>
      <c r="E94" s="96">
        <f>E93</f>
        <v>200</v>
      </c>
      <c r="F94" s="96">
        <f>E94*C94</f>
        <v>140</v>
      </c>
      <c r="G94" s="121"/>
      <c r="H94" s="121"/>
      <c r="I94" s="121"/>
      <c r="J94" s="121"/>
    </row>
    <row r="95" spans="1:10" s="149" customFormat="1" hidden="1">
      <c r="B95" s="3" t="s">
        <v>322</v>
      </c>
      <c r="C95" s="16"/>
      <c r="D95" s="16" t="s">
        <v>116</v>
      </c>
      <c r="E95" s="16">
        <f>SUM(F87:F94)</f>
        <v>2716.3999999999996</v>
      </c>
      <c r="F95" s="16">
        <f>E95*0.075</f>
        <v>203.72999999999996</v>
      </c>
      <c r="G95" s="121"/>
      <c r="H95" s="121"/>
      <c r="I95" s="121"/>
      <c r="J95" s="121"/>
    </row>
    <row r="96" spans="1:10" s="149" customFormat="1" hidden="1">
      <c r="B96" s="63" t="s">
        <v>323</v>
      </c>
      <c r="C96" s="16"/>
      <c r="D96" s="16" t="s">
        <v>116</v>
      </c>
      <c r="E96" s="16">
        <f>SUM(F87:F94)</f>
        <v>2716.3999999999996</v>
      </c>
      <c r="F96" s="16">
        <f>E96*0.075</f>
        <v>203.72999999999996</v>
      </c>
      <c r="G96" s="121"/>
      <c r="H96" s="121"/>
      <c r="I96" s="121"/>
      <c r="J96" s="121"/>
    </row>
    <row r="97" spans="1:10" s="149" customFormat="1" hidden="1">
      <c r="B97" s="99" t="s">
        <v>124</v>
      </c>
      <c r="C97" s="16"/>
      <c r="D97" s="16"/>
      <c r="E97" s="16"/>
      <c r="F97" s="16"/>
      <c r="G97" s="121"/>
      <c r="H97" s="121"/>
      <c r="I97" s="121"/>
      <c r="J97" s="121"/>
    </row>
    <row r="98" spans="1:10" s="149" customFormat="1" hidden="1">
      <c r="B98" s="15" t="s">
        <v>132</v>
      </c>
      <c r="C98" s="96" t="s">
        <v>133</v>
      </c>
      <c r="D98" s="96" t="s">
        <v>123</v>
      </c>
      <c r="E98" s="96">
        <f>Lead!J5</f>
        <v>335.2</v>
      </c>
      <c r="F98" s="96">
        <f>E98*C98</f>
        <v>321.79199999999997</v>
      </c>
      <c r="G98" s="121"/>
      <c r="H98" s="121"/>
      <c r="I98" s="121"/>
      <c r="J98" s="121"/>
    </row>
    <row r="99" spans="1:10" s="149" customFormat="1" hidden="1">
      <c r="B99" s="15" t="s">
        <v>134</v>
      </c>
      <c r="C99" s="96" t="s">
        <v>135</v>
      </c>
      <c r="D99" s="96" t="s">
        <v>123</v>
      </c>
      <c r="E99" s="96">
        <f>Lead!J20</f>
        <v>196.4</v>
      </c>
      <c r="F99" s="96">
        <f>E99*C99</f>
        <v>94.272000000000006</v>
      </c>
      <c r="G99" s="121"/>
      <c r="H99" s="121"/>
      <c r="I99" s="121"/>
      <c r="J99" s="121"/>
    </row>
    <row r="100" spans="1:10" s="149" customFormat="1" hidden="1">
      <c r="B100" s="15" t="s">
        <v>136</v>
      </c>
      <c r="C100" s="96">
        <v>1.72</v>
      </c>
      <c r="D100" s="96" t="s">
        <v>127</v>
      </c>
      <c r="E100" s="96">
        <f>Lead!J29</f>
        <v>16.899999999999999</v>
      </c>
      <c r="F100" s="779">
        <f>E100*C100</f>
        <v>29.067999999999998</v>
      </c>
      <c r="G100" s="121"/>
      <c r="H100" s="121"/>
      <c r="I100" s="121"/>
      <c r="J100" s="121"/>
    </row>
    <row r="101" spans="1:10" s="149" customFormat="1" hidden="1">
      <c r="B101" s="15" t="s">
        <v>117</v>
      </c>
      <c r="C101" s="16"/>
      <c r="D101" s="16"/>
      <c r="E101" s="16"/>
      <c r="F101" s="96">
        <f>SUM(F87:F100)</f>
        <v>3568.9919999999997</v>
      </c>
      <c r="G101" s="121"/>
      <c r="H101" s="121"/>
      <c r="I101" s="121"/>
      <c r="J101" s="121"/>
    </row>
    <row r="102" spans="1:10" s="149" customFormat="1" hidden="1">
      <c r="B102" s="15" t="s">
        <v>429</v>
      </c>
      <c r="C102" s="16"/>
      <c r="D102" s="16"/>
      <c r="E102" s="16"/>
      <c r="F102" s="96">
        <f>F101*1%</f>
        <v>35.689920000000001</v>
      </c>
      <c r="G102" s="121"/>
      <c r="H102" s="121"/>
      <c r="I102" s="121"/>
      <c r="J102" s="121"/>
    </row>
    <row r="103" spans="1:10" s="149" customFormat="1" hidden="1">
      <c r="B103" s="15"/>
      <c r="C103" s="16"/>
      <c r="D103" s="16"/>
      <c r="E103" s="16"/>
      <c r="F103" s="778">
        <f>SUM(F101:F102)</f>
        <v>3604.6819199999995</v>
      </c>
      <c r="G103" s="121"/>
      <c r="H103" s="121"/>
      <c r="I103" s="121"/>
      <c r="J103" s="121"/>
    </row>
    <row r="104" spans="1:10" s="149" customFormat="1" hidden="1">
      <c r="B104" s="45"/>
      <c r="C104" s="777"/>
      <c r="D104" s="777"/>
      <c r="E104" s="777" t="s">
        <v>120</v>
      </c>
      <c r="F104" s="777">
        <f>ROUND(F103,1)</f>
        <v>3604.7</v>
      </c>
      <c r="G104" s="121"/>
      <c r="H104" s="121"/>
      <c r="I104" s="121"/>
      <c r="J104" s="121"/>
    </row>
    <row r="105" spans="1:10" s="149" customFormat="1" ht="25.5" hidden="1">
      <c r="A105" s="133">
        <v>7</v>
      </c>
      <c r="B105" s="99" t="s">
        <v>35</v>
      </c>
      <c r="C105" s="96" t="s">
        <v>130</v>
      </c>
      <c r="D105" s="96"/>
      <c r="E105" s="96"/>
      <c r="F105" s="16"/>
      <c r="G105" s="121"/>
      <c r="H105" s="121"/>
      <c r="I105" s="121"/>
      <c r="J105" s="121"/>
    </row>
    <row r="106" spans="1:10" s="149" customFormat="1" hidden="1">
      <c r="B106" s="99" t="s">
        <v>131</v>
      </c>
      <c r="C106" s="16"/>
      <c r="D106" s="16"/>
      <c r="E106" s="16"/>
      <c r="F106" s="16"/>
      <c r="G106" s="121"/>
      <c r="H106" s="121"/>
      <c r="I106" s="121"/>
      <c r="J106" s="121"/>
    </row>
    <row r="107" spans="1:10" s="149" customFormat="1" hidden="1">
      <c r="B107" s="15" t="s">
        <v>132</v>
      </c>
      <c r="C107" s="96" t="s">
        <v>133</v>
      </c>
      <c r="D107" s="96" t="s">
        <v>123</v>
      </c>
      <c r="E107" s="96">
        <f>Lead!E5</f>
        <v>780</v>
      </c>
      <c r="F107" s="96">
        <f>E107*C107</f>
        <v>748.8</v>
      </c>
      <c r="G107" s="121"/>
      <c r="H107" s="121"/>
      <c r="I107" s="121"/>
      <c r="J107" s="121"/>
    </row>
    <row r="108" spans="1:10" s="149" customFormat="1" hidden="1">
      <c r="B108" s="15" t="s">
        <v>134</v>
      </c>
      <c r="C108" s="96" t="s">
        <v>135</v>
      </c>
      <c r="D108" s="96" t="s">
        <v>123</v>
      </c>
      <c r="E108" s="96">
        <f>Lead!E20</f>
        <v>55</v>
      </c>
      <c r="F108" s="96">
        <f>E108*C108</f>
        <v>26.4</v>
      </c>
      <c r="G108" s="121"/>
      <c r="H108" s="121"/>
      <c r="I108" s="121"/>
      <c r="J108" s="121"/>
    </row>
    <row r="109" spans="1:10" s="149" customFormat="1" hidden="1">
      <c r="B109" s="15" t="s">
        <v>136</v>
      </c>
      <c r="C109" s="96">
        <v>2.29</v>
      </c>
      <c r="D109" s="96" t="s">
        <v>127</v>
      </c>
      <c r="E109" s="96">
        <f>Lead!E29</f>
        <v>650</v>
      </c>
      <c r="F109" s="96">
        <f>E109*C109</f>
        <v>1488.5</v>
      </c>
      <c r="G109" s="121"/>
      <c r="H109" s="121"/>
      <c r="I109" s="121"/>
      <c r="J109" s="121"/>
    </row>
    <row r="110" spans="1:10" s="149" customFormat="1" hidden="1">
      <c r="B110" s="99" t="s">
        <v>137</v>
      </c>
      <c r="C110" s="16"/>
      <c r="D110" s="16"/>
      <c r="E110" s="16"/>
      <c r="F110" s="16"/>
      <c r="G110" s="121"/>
      <c r="H110" s="121"/>
      <c r="I110" s="121"/>
      <c r="J110" s="121"/>
    </row>
    <row r="111" spans="1:10" s="149" customFormat="1" hidden="1">
      <c r="B111" s="15" t="s">
        <v>138</v>
      </c>
      <c r="C111" s="96" t="s">
        <v>139</v>
      </c>
      <c r="D111" s="96" t="s">
        <v>114</v>
      </c>
      <c r="E111" s="96">
        <f>Lead!E58</f>
        <v>240</v>
      </c>
      <c r="F111" s="96">
        <f>E111*C111</f>
        <v>43.199999999999996</v>
      </c>
      <c r="G111" s="121"/>
      <c r="H111" s="121"/>
      <c r="I111" s="121"/>
      <c r="J111" s="121"/>
    </row>
    <row r="112" spans="1:10" s="149" customFormat="1" hidden="1">
      <c r="B112" s="15" t="s">
        <v>113</v>
      </c>
      <c r="C112" s="96">
        <v>1.8</v>
      </c>
      <c r="D112" s="96" t="s">
        <v>114</v>
      </c>
      <c r="E112" s="96">
        <f>Lead!E47</f>
        <v>200</v>
      </c>
      <c r="F112" s="96">
        <f>E112*C112</f>
        <v>360</v>
      </c>
      <c r="G112" s="121"/>
      <c r="H112" s="121"/>
      <c r="I112" s="121"/>
      <c r="J112" s="121"/>
    </row>
    <row r="113" spans="1:10" s="149" customFormat="1" hidden="1">
      <c r="B113" s="15" t="s">
        <v>115</v>
      </c>
      <c r="C113" s="96" t="s">
        <v>140</v>
      </c>
      <c r="D113" s="96" t="s">
        <v>114</v>
      </c>
      <c r="E113" s="96">
        <f>Lead!E48</f>
        <v>200</v>
      </c>
      <c r="F113" s="96">
        <f>E113*C113</f>
        <v>280</v>
      </c>
      <c r="G113" s="121"/>
      <c r="H113" s="121"/>
      <c r="I113" s="121"/>
      <c r="J113" s="121"/>
    </row>
    <row r="114" spans="1:10" s="149" customFormat="1" ht="25.5" hidden="1">
      <c r="B114" s="15" t="s">
        <v>156</v>
      </c>
      <c r="C114" s="96">
        <v>0.7</v>
      </c>
      <c r="D114" s="96" t="s">
        <v>114</v>
      </c>
      <c r="E114" s="96">
        <f>Lead!E47</f>
        <v>200</v>
      </c>
      <c r="F114" s="96">
        <f>E114*C114</f>
        <v>140</v>
      </c>
      <c r="G114" s="121"/>
      <c r="H114" s="121"/>
      <c r="I114" s="121"/>
      <c r="J114" s="121"/>
    </row>
    <row r="115" spans="1:10" s="149" customFormat="1" hidden="1">
      <c r="B115" s="3" t="s">
        <v>322</v>
      </c>
      <c r="C115" s="16"/>
      <c r="D115" s="16" t="s">
        <v>116</v>
      </c>
      <c r="E115" s="16">
        <f>SUM(F107:F114)</f>
        <v>3086.8999999999996</v>
      </c>
      <c r="F115" s="16">
        <f>E115*0.075</f>
        <v>231.51749999999996</v>
      </c>
      <c r="G115" s="121"/>
      <c r="H115" s="121"/>
      <c r="I115" s="121"/>
      <c r="J115" s="121"/>
    </row>
    <row r="116" spans="1:10" s="149" customFormat="1" hidden="1">
      <c r="B116" s="63" t="s">
        <v>323</v>
      </c>
      <c r="C116" s="16"/>
      <c r="D116" s="16" t="s">
        <v>116</v>
      </c>
      <c r="E116" s="16">
        <f>SUM(F107:F114)</f>
        <v>3086.8999999999996</v>
      </c>
      <c r="F116" s="16">
        <f>E116*0.075</f>
        <v>231.51749999999996</v>
      </c>
      <c r="G116" s="121"/>
      <c r="H116" s="121"/>
      <c r="I116" s="121"/>
      <c r="J116" s="121"/>
    </row>
    <row r="117" spans="1:10" s="149" customFormat="1" hidden="1">
      <c r="B117" s="99" t="s">
        <v>124</v>
      </c>
      <c r="C117" s="16"/>
      <c r="D117" s="16"/>
      <c r="E117" s="16"/>
      <c r="F117" s="16"/>
      <c r="G117" s="121"/>
      <c r="H117" s="121"/>
      <c r="I117" s="121"/>
      <c r="J117" s="121"/>
    </row>
    <row r="118" spans="1:10" s="149" customFormat="1" hidden="1">
      <c r="B118" s="15" t="s">
        <v>132</v>
      </c>
      <c r="C118" s="96" t="s">
        <v>133</v>
      </c>
      <c r="D118" s="96" t="s">
        <v>123</v>
      </c>
      <c r="E118" s="96">
        <f>Lead!J5</f>
        <v>335.2</v>
      </c>
      <c r="F118" s="96">
        <f>E118*C118</f>
        <v>321.79199999999997</v>
      </c>
      <c r="G118" s="121"/>
      <c r="H118" s="121"/>
      <c r="I118" s="121"/>
      <c r="J118" s="121"/>
    </row>
    <row r="119" spans="1:10" s="149" customFormat="1" hidden="1">
      <c r="B119" s="15" t="s">
        <v>134</v>
      </c>
      <c r="C119" s="96" t="s">
        <v>135</v>
      </c>
      <c r="D119" s="96" t="s">
        <v>123</v>
      </c>
      <c r="E119" s="96">
        <f>Lead!J20</f>
        <v>196.4</v>
      </c>
      <c r="F119" s="96">
        <f>E119*C119</f>
        <v>94.272000000000006</v>
      </c>
      <c r="G119" s="121"/>
      <c r="H119" s="121"/>
      <c r="I119" s="121"/>
      <c r="J119" s="121"/>
    </row>
    <row r="120" spans="1:10" s="149" customFormat="1" hidden="1">
      <c r="B120" s="15" t="s">
        <v>136</v>
      </c>
      <c r="C120" s="96">
        <v>2.29</v>
      </c>
      <c r="D120" s="96" t="s">
        <v>127</v>
      </c>
      <c r="E120" s="96">
        <f>Lead!J29</f>
        <v>16.899999999999999</v>
      </c>
      <c r="F120" s="779">
        <f>E120*C120</f>
        <v>38.701000000000001</v>
      </c>
      <c r="G120" s="121"/>
      <c r="H120" s="121"/>
      <c r="I120" s="121"/>
      <c r="J120" s="121"/>
    </row>
    <row r="121" spans="1:10" s="149" customFormat="1" hidden="1">
      <c r="B121" s="15" t="s">
        <v>117</v>
      </c>
      <c r="C121" s="16"/>
      <c r="D121" s="16"/>
      <c r="E121" s="16"/>
      <c r="F121" s="96">
        <f>SUM(F107:F120)</f>
        <v>4004.6999999999994</v>
      </c>
      <c r="G121" s="121"/>
      <c r="H121" s="121"/>
      <c r="I121" s="121"/>
      <c r="J121" s="121"/>
    </row>
    <row r="122" spans="1:10" s="149" customFormat="1" hidden="1">
      <c r="B122" s="15" t="s">
        <v>429</v>
      </c>
      <c r="C122" s="16"/>
      <c r="D122" s="16"/>
      <c r="E122" s="16"/>
      <c r="F122" s="96">
        <f>F121*1%</f>
        <v>40.046999999999997</v>
      </c>
      <c r="G122" s="121"/>
      <c r="H122" s="121"/>
      <c r="I122" s="121"/>
      <c r="J122" s="121"/>
    </row>
    <row r="123" spans="1:10" s="149" customFormat="1" hidden="1">
      <c r="B123" s="15"/>
      <c r="C123" s="16"/>
      <c r="D123" s="16"/>
      <c r="E123" s="16"/>
      <c r="F123" s="778">
        <f>SUM(F121:F122)</f>
        <v>4044.7469999999994</v>
      </c>
      <c r="G123" s="121"/>
      <c r="H123" s="121"/>
      <c r="I123" s="121"/>
      <c r="J123" s="121"/>
    </row>
    <row r="124" spans="1:10" s="149" customFormat="1" hidden="1">
      <c r="B124" s="45"/>
      <c r="C124" s="777"/>
      <c r="D124" s="777"/>
      <c r="E124" s="777" t="s">
        <v>120</v>
      </c>
      <c r="F124" s="777">
        <f>ROUND(F123,1)</f>
        <v>4044.7</v>
      </c>
      <c r="G124" s="121"/>
      <c r="H124" s="121"/>
      <c r="I124" s="121"/>
      <c r="J124" s="121"/>
    </row>
    <row r="125" spans="1:10" s="149" customFormat="1" hidden="1">
      <c r="C125" s="121"/>
      <c r="D125" s="121"/>
      <c r="E125" s="121"/>
      <c r="F125" s="121"/>
      <c r="G125" s="121"/>
      <c r="H125" s="121"/>
      <c r="I125" s="121"/>
      <c r="J125" s="121"/>
    </row>
    <row r="126" spans="1:10" s="149" customFormat="1" ht="25.5" hidden="1">
      <c r="A126" s="133">
        <v>8</v>
      </c>
      <c r="B126" s="99" t="s">
        <v>907</v>
      </c>
      <c r="C126" s="96" t="s">
        <v>130</v>
      </c>
      <c r="D126" s="96"/>
      <c r="E126" s="96"/>
      <c r="F126" s="16"/>
      <c r="G126" s="121"/>
      <c r="H126" s="121"/>
      <c r="I126" s="121"/>
      <c r="J126" s="121"/>
    </row>
    <row r="127" spans="1:10" s="149" customFormat="1" hidden="1">
      <c r="B127" s="99" t="s">
        <v>131</v>
      </c>
      <c r="C127" s="16"/>
      <c r="D127" s="16"/>
      <c r="E127" s="16"/>
      <c r="F127" s="16"/>
      <c r="G127" s="121"/>
      <c r="H127" s="121"/>
      <c r="I127" s="121"/>
      <c r="J127" s="121"/>
    </row>
    <row r="128" spans="1:10" s="149" customFormat="1" ht="18" hidden="1" customHeight="1">
      <c r="B128" s="15" t="s">
        <v>906</v>
      </c>
      <c r="C128" s="96" t="s">
        <v>133</v>
      </c>
      <c r="D128" s="96" t="s">
        <v>123</v>
      </c>
      <c r="E128" s="96">
        <f>Lead!E11</f>
        <v>1168</v>
      </c>
      <c r="F128" s="96">
        <f>E128*C128</f>
        <v>1121.28</v>
      </c>
      <c r="G128" s="121"/>
      <c r="H128" s="121"/>
      <c r="I128" s="121"/>
      <c r="J128" s="121"/>
    </row>
    <row r="129" spans="2:10" s="149" customFormat="1" hidden="1">
      <c r="B129" s="15" t="s">
        <v>134</v>
      </c>
      <c r="C129" s="96">
        <v>0.45</v>
      </c>
      <c r="D129" s="96" t="s">
        <v>123</v>
      </c>
      <c r="E129" s="96">
        <f>Lead!E20</f>
        <v>55</v>
      </c>
      <c r="F129" s="96">
        <f>E129*C129</f>
        <v>24.75</v>
      </c>
      <c r="G129" s="121"/>
      <c r="H129" s="121"/>
      <c r="I129" s="121"/>
      <c r="J129" s="121"/>
    </row>
    <row r="130" spans="2:10" s="149" customFormat="1" hidden="1">
      <c r="B130" s="15" t="s">
        <v>136</v>
      </c>
      <c r="C130" s="96">
        <v>3.23</v>
      </c>
      <c r="D130" s="96" t="s">
        <v>127</v>
      </c>
      <c r="E130" s="96">
        <f>Lead!E29</f>
        <v>650</v>
      </c>
      <c r="F130" s="96">
        <f>E130*C130</f>
        <v>2099.5</v>
      </c>
      <c r="G130" s="121"/>
      <c r="H130" s="121"/>
      <c r="I130" s="121"/>
      <c r="J130" s="121"/>
    </row>
    <row r="131" spans="2:10" s="149" customFormat="1" hidden="1">
      <c r="B131" s="15" t="s">
        <v>137</v>
      </c>
      <c r="C131" s="16"/>
      <c r="D131" s="16"/>
      <c r="E131" s="16"/>
      <c r="F131" s="16"/>
      <c r="G131" s="121"/>
      <c r="H131" s="121"/>
      <c r="I131" s="121"/>
      <c r="J131" s="121"/>
    </row>
    <row r="132" spans="2:10" s="149" customFormat="1" hidden="1">
      <c r="B132" s="15" t="s">
        <v>138</v>
      </c>
      <c r="C132" s="96" t="s">
        <v>139</v>
      </c>
      <c r="D132" s="96" t="s">
        <v>114</v>
      </c>
      <c r="E132" s="96">
        <f>Lead!E58</f>
        <v>240</v>
      </c>
      <c r="F132" s="96">
        <f>E132*C132</f>
        <v>43.199999999999996</v>
      </c>
      <c r="G132" s="121"/>
      <c r="H132" s="121"/>
      <c r="I132" s="121"/>
      <c r="J132" s="121"/>
    </row>
    <row r="133" spans="2:10" s="149" customFormat="1" hidden="1">
      <c r="B133" s="15" t="s">
        <v>113</v>
      </c>
      <c r="C133" s="96">
        <v>1.8</v>
      </c>
      <c r="D133" s="96" t="s">
        <v>114</v>
      </c>
      <c r="E133" s="96">
        <f>Lead!E47</f>
        <v>200</v>
      </c>
      <c r="F133" s="96">
        <f>E133*C133</f>
        <v>360</v>
      </c>
      <c r="G133" s="121"/>
      <c r="H133" s="121"/>
      <c r="I133" s="121"/>
      <c r="J133" s="121"/>
    </row>
    <row r="134" spans="2:10" s="149" customFormat="1" hidden="1">
      <c r="B134" s="15" t="s">
        <v>115</v>
      </c>
      <c r="C134" s="96" t="s">
        <v>140</v>
      </c>
      <c r="D134" s="96" t="s">
        <v>114</v>
      </c>
      <c r="E134" s="96">
        <f>Lead!E47</f>
        <v>200</v>
      </c>
      <c r="F134" s="96">
        <f>E134*C134</f>
        <v>280</v>
      </c>
      <c r="G134" s="121"/>
      <c r="H134" s="121"/>
      <c r="I134" s="121"/>
      <c r="J134" s="121"/>
    </row>
    <row r="135" spans="2:10" s="149" customFormat="1" ht="25.5" hidden="1">
      <c r="B135" s="15" t="s">
        <v>156</v>
      </c>
      <c r="C135" s="96">
        <v>0.7</v>
      </c>
      <c r="D135" s="96" t="s">
        <v>114</v>
      </c>
      <c r="E135" s="96">
        <f>Lead!E47</f>
        <v>200</v>
      </c>
      <c r="F135" s="96">
        <f>E135*C135</f>
        <v>140</v>
      </c>
      <c r="G135" s="121"/>
      <c r="H135" s="121"/>
      <c r="I135" s="121"/>
      <c r="J135" s="121"/>
    </row>
    <row r="136" spans="2:10" s="149" customFormat="1" hidden="1">
      <c r="B136" s="3" t="s">
        <v>322</v>
      </c>
      <c r="C136" s="16"/>
      <c r="D136" s="16" t="s">
        <v>116</v>
      </c>
      <c r="E136" s="16">
        <f>SUM(F128:F135)</f>
        <v>4068.7299999999996</v>
      </c>
      <c r="F136" s="16">
        <f>E136*0.075</f>
        <v>305.15474999999998</v>
      </c>
      <c r="G136" s="121"/>
      <c r="H136" s="121"/>
      <c r="I136" s="121"/>
      <c r="J136" s="121"/>
    </row>
    <row r="137" spans="2:10" s="149" customFormat="1" hidden="1">
      <c r="B137" s="63" t="s">
        <v>323</v>
      </c>
      <c r="C137" s="16"/>
      <c r="D137" s="16" t="s">
        <v>116</v>
      </c>
      <c r="E137" s="16">
        <f>SUM(F128:F135)</f>
        <v>4068.7299999999996</v>
      </c>
      <c r="F137" s="16">
        <f>E137*0.075</f>
        <v>305.15474999999998</v>
      </c>
      <c r="G137" s="121"/>
      <c r="H137" s="121"/>
      <c r="I137" s="121"/>
      <c r="J137" s="121"/>
    </row>
    <row r="138" spans="2:10" s="149" customFormat="1" hidden="1">
      <c r="B138" s="99" t="s">
        <v>124</v>
      </c>
      <c r="C138" s="16"/>
      <c r="D138" s="16"/>
      <c r="E138" s="16"/>
      <c r="F138" s="16"/>
      <c r="G138" s="121"/>
      <c r="H138" s="121"/>
      <c r="I138" s="121"/>
      <c r="J138" s="121"/>
    </row>
    <row r="139" spans="2:10" s="149" customFormat="1" ht="20.25" hidden="1" customHeight="1">
      <c r="B139" s="15" t="s">
        <v>906</v>
      </c>
      <c r="C139" s="96" t="s">
        <v>133</v>
      </c>
      <c r="D139" s="96" t="s">
        <v>123</v>
      </c>
      <c r="E139" s="96">
        <f>Lead!J11</f>
        <v>850.4</v>
      </c>
      <c r="F139" s="96">
        <f>E139*C139</f>
        <v>816.3839999999999</v>
      </c>
      <c r="G139" s="121"/>
      <c r="H139" s="121"/>
      <c r="I139" s="121"/>
      <c r="J139" s="121"/>
    </row>
    <row r="140" spans="2:10" s="149" customFormat="1" hidden="1">
      <c r="B140" s="15" t="s">
        <v>134</v>
      </c>
      <c r="C140" s="96" t="s">
        <v>135</v>
      </c>
      <c r="D140" s="96" t="s">
        <v>123</v>
      </c>
      <c r="E140" s="96">
        <f>Lead!J20</f>
        <v>196.4</v>
      </c>
      <c r="F140" s="96">
        <f>E140*C140</f>
        <v>94.272000000000006</v>
      </c>
      <c r="G140" s="121"/>
      <c r="H140" s="121"/>
      <c r="I140" s="121"/>
      <c r="J140" s="121"/>
    </row>
    <row r="141" spans="2:10" s="149" customFormat="1" hidden="1">
      <c r="B141" s="15" t="s">
        <v>136</v>
      </c>
      <c r="C141" s="96">
        <v>2.29</v>
      </c>
      <c r="D141" s="96" t="s">
        <v>127</v>
      </c>
      <c r="E141" s="96">
        <f>Lead!J29</f>
        <v>16.899999999999999</v>
      </c>
      <c r="F141" s="779">
        <f>E141*C141</f>
        <v>38.701000000000001</v>
      </c>
      <c r="G141" s="121"/>
      <c r="H141" s="121"/>
      <c r="I141" s="121"/>
      <c r="J141" s="121"/>
    </row>
    <row r="142" spans="2:10" s="149" customFormat="1" hidden="1">
      <c r="B142" s="15" t="s">
        <v>117</v>
      </c>
      <c r="C142" s="16"/>
      <c r="D142" s="16"/>
      <c r="E142" s="16"/>
      <c r="F142" s="96">
        <f>SUM(F128:F141)</f>
        <v>5628.3964999999989</v>
      </c>
      <c r="G142" s="121"/>
      <c r="H142" s="121"/>
      <c r="I142" s="121"/>
      <c r="J142" s="121"/>
    </row>
    <row r="143" spans="2:10" s="149" customFormat="1" hidden="1">
      <c r="B143" s="15" t="s">
        <v>429</v>
      </c>
      <c r="C143" s="16"/>
      <c r="D143" s="16"/>
      <c r="E143" s="16"/>
      <c r="F143" s="96">
        <f>F142*1%</f>
        <v>56.283964999999988</v>
      </c>
      <c r="G143" s="121"/>
      <c r="H143" s="121"/>
      <c r="I143" s="121"/>
      <c r="J143" s="121"/>
    </row>
    <row r="144" spans="2:10" s="149" customFormat="1" hidden="1">
      <c r="B144" s="15"/>
      <c r="C144" s="16"/>
      <c r="D144" s="16"/>
      <c r="E144" s="16"/>
      <c r="F144" s="778">
        <f>SUM(F142:F143)</f>
        <v>5684.6804649999985</v>
      </c>
      <c r="G144" s="121"/>
      <c r="H144" s="121"/>
      <c r="I144" s="121"/>
      <c r="J144" s="121"/>
    </row>
    <row r="145" spans="1:10" s="149" customFormat="1" hidden="1">
      <c r="C145" s="777"/>
      <c r="D145" s="777"/>
      <c r="E145" s="777" t="s">
        <v>120</v>
      </c>
      <c r="F145" s="777">
        <f>ROUND(F144,1)</f>
        <v>5684.7</v>
      </c>
      <c r="G145" s="121"/>
      <c r="H145" s="121"/>
      <c r="I145" s="121"/>
      <c r="J145" s="121"/>
    </row>
    <row r="146" spans="1:10" s="149" customFormat="1" hidden="1">
      <c r="A146" s="128">
        <v>9</v>
      </c>
      <c r="B146" s="1244" t="s">
        <v>1277</v>
      </c>
      <c r="C146" s="1244"/>
      <c r="D146" s="1244"/>
      <c r="E146" s="1244"/>
      <c r="F146" s="1244"/>
      <c r="G146" s="780"/>
      <c r="H146" s="121"/>
      <c r="I146" s="121"/>
      <c r="J146" s="121"/>
    </row>
    <row r="147" spans="1:10" s="149" customFormat="1" hidden="1">
      <c r="A147" s="5" t="s">
        <v>37</v>
      </c>
      <c r="B147" s="472" t="s">
        <v>1087</v>
      </c>
      <c r="C147" s="781"/>
      <c r="D147" s="780"/>
      <c r="E147" s="782"/>
      <c r="F147" s="782"/>
      <c r="G147" s="780"/>
      <c r="H147" s="121"/>
      <c r="I147" s="121"/>
      <c r="J147" s="121"/>
    </row>
    <row r="148" spans="1:10" s="149" customFormat="1" hidden="1">
      <c r="A148" s="5"/>
      <c r="B148" s="472" t="s">
        <v>1278</v>
      </c>
      <c r="C148" s="781">
        <v>350</v>
      </c>
      <c r="D148" s="780" t="s">
        <v>1279</v>
      </c>
      <c r="E148" s="782">
        <f>Lead!E24</f>
        <v>4750</v>
      </c>
      <c r="F148" s="782">
        <f>C148*E148/1000</f>
        <v>1662.5</v>
      </c>
      <c r="G148" s="780"/>
      <c r="H148" s="121"/>
      <c r="I148" s="121"/>
      <c r="J148" s="121"/>
    </row>
    <row r="149" spans="1:10" s="149" customFormat="1" hidden="1">
      <c r="A149" s="5"/>
      <c r="B149" s="472" t="s">
        <v>104</v>
      </c>
      <c r="C149" s="781">
        <v>0.28000000000000003</v>
      </c>
      <c r="D149" s="780" t="s">
        <v>297</v>
      </c>
      <c r="E149" s="782">
        <f>Lead!E20</f>
        <v>55</v>
      </c>
      <c r="F149" s="782">
        <f>C149*E149</f>
        <v>15.400000000000002</v>
      </c>
      <c r="G149" s="780"/>
      <c r="H149" s="121"/>
      <c r="I149" s="121"/>
      <c r="J149" s="121"/>
    </row>
    <row r="150" spans="1:10" s="149" customFormat="1" hidden="1">
      <c r="A150" s="5"/>
      <c r="B150" s="472" t="s">
        <v>1089</v>
      </c>
      <c r="C150" s="781">
        <v>0.67200000000000004</v>
      </c>
      <c r="D150" s="780" t="s">
        <v>1090</v>
      </c>
      <c r="E150" s="782">
        <f>Lead!E29</f>
        <v>650</v>
      </c>
      <c r="F150" s="782">
        <f>C150*E150</f>
        <v>436.8</v>
      </c>
      <c r="G150" s="780"/>
      <c r="H150" s="121"/>
      <c r="I150" s="121"/>
      <c r="J150" s="121"/>
    </row>
    <row r="151" spans="1:10" s="149" customFormat="1" hidden="1">
      <c r="A151" s="5"/>
      <c r="B151" s="472"/>
      <c r="C151" s="781"/>
      <c r="D151" s="780"/>
      <c r="E151" s="782" t="s">
        <v>117</v>
      </c>
      <c r="F151" s="782">
        <f>SUM(F148:F150)</f>
        <v>2114.7000000000003</v>
      </c>
      <c r="G151" s="780"/>
      <c r="H151" s="121"/>
      <c r="I151" s="121"/>
      <c r="J151" s="121"/>
    </row>
    <row r="152" spans="1:10" s="149" customFormat="1" hidden="1">
      <c r="A152" s="5"/>
      <c r="B152" s="472" t="s">
        <v>1092</v>
      </c>
      <c r="C152" s="781"/>
      <c r="D152" s="780"/>
      <c r="E152" s="782"/>
      <c r="F152" s="782"/>
      <c r="G152" s="780"/>
      <c r="H152" s="121"/>
      <c r="I152" s="121"/>
      <c r="J152" s="121"/>
    </row>
    <row r="153" spans="1:10" s="149" customFormat="1" hidden="1">
      <c r="A153" s="5"/>
      <c r="B153" s="472" t="s">
        <v>299</v>
      </c>
      <c r="C153" s="781">
        <v>0.35</v>
      </c>
      <c r="D153" s="780" t="s">
        <v>1094</v>
      </c>
      <c r="E153" s="782">
        <f>Lead!E64</f>
        <v>260</v>
      </c>
      <c r="F153" s="782">
        <f>C153*E153</f>
        <v>91</v>
      </c>
      <c r="G153" s="780"/>
      <c r="H153" s="121"/>
      <c r="I153" s="121"/>
      <c r="J153" s="121"/>
    </row>
    <row r="154" spans="1:10" s="149" customFormat="1" hidden="1">
      <c r="A154" s="5"/>
      <c r="B154" s="472" t="s">
        <v>153</v>
      </c>
      <c r="C154" s="781">
        <v>1.05</v>
      </c>
      <c r="D154" s="780" t="s">
        <v>1094</v>
      </c>
      <c r="E154" s="782">
        <f>Lead!E58</f>
        <v>240</v>
      </c>
      <c r="F154" s="782">
        <f>C154*E154</f>
        <v>252</v>
      </c>
      <c r="G154" s="780"/>
      <c r="H154" s="121"/>
      <c r="I154" s="121"/>
      <c r="J154" s="121"/>
    </row>
    <row r="155" spans="1:10" s="149" customFormat="1" ht="47.25" hidden="1" customHeight="1">
      <c r="A155" s="5"/>
      <c r="B155" s="472" t="s">
        <v>1096</v>
      </c>
      <c r="C155" s="781">
        <v>2.96</v>
      </c>
      <c r="D155" s="780" t="s">
        <v>1094</v>
      </c>
      <c r="E155" s="782">
        <f>Lead!E47</f>
        <v>200</v>
      </c>
      <c r="F155" s="782">
        <f>C155*E155</f>
        <v>592</v>
      </c>
      <c r="G155" s="780"/>
      <c r="H155" s="121"/>
      <c r="I155" s="121"/>
      <c r="J155" s="121"/>
    </row>
    <row r="156" spans="1:10" s="149" customFormat="1" hidden="1">
      <c r="A156" s="5"/>
      <c r="B156" s="472"/>
      <c r="C156" s="781"/>
      <c r="D156" s="780"/>
      <c r="E156" s="782" t="s">
        <v>117</v>
      </c>
      <c r="F156" s="782">
        <f>SUM(F153:F155)</f>
        <v>935</v>
      </c>
      <c r="G156" s="780"/>
      <c r="H156" s="121"/>
      <c r="I156" s="121"/>
      <c r="J156" s="121"/>
    </row>
    <row r="157" spans="1:10" s="149" customFormat="1" hidden="1">
      <c r="A157" s="5"/>
      <c r="B157" s="472"/>
      <c r="C157" s="781"/>
      <c r="D157" s="780"/>
      <c r="E157" s="782" t="s">
        <v>1280</v>
      </c>
      <c r="F157" s="782">
        <f>F151+F156</f>
        <v>3049.7000000000003</v>
      </c>
      <c r="G157" s="780"/>
      <c r="H157" s="121"/>
      <c r="I157" s="121"/>
      <c r="J157" s="121"/>
    </row>
    <row r="158" spans="1:10" s="149" customFormat="1" hidden="1">
      <c r="A158" s="5"/>
      <c r="B158" s="472" t="s">
        <v>1281</v>
      </c>
      <c r="C158" s="781"/>
      <c r="D158" s="780"/>
      <c r="E158" s="782"/>
      <c r="F158" s="782">
        <f>F157*0.075</f>
        <v>228.72750000000002</v>
      </c>
      <c r="G158" s="780"/>
      <c r="H158" s="121"/>
      <c r="I158" s="121"/>
      <c r="J158" s="121"/>
    </row>
    <row r="159" spans="1:10" s="149" customFormat="1" hidden="1">
      <c r="A159" s="5"/>
      <c r="B159" s="472" t="s">
        <v>1282</v>
      </c>
      <c r="C159" s="781"/>
      <c r="D159" s="780"/>
      <c r="E159" s="782"/>
      <c r="F159" s="782">
        <f>F157*0.075</f>
        <v>228.72750000000002</v>
      </c>
      <c r="G159" s="780"/>
      <c r="H159" s="121"/>
      <c r="I159" s="121"/>
      <c r="J159" s="121"/>
    </row>
    <row r="160" spans="1:10" s="149" customFormat="1" hidden="1">
      <c r="A160" s="5"/>
      <c r="B160" s="472"/>
      <c r="C160" s="781"/>
      <c r="D160" s="780"/>
      <c r="E160" s="782" t="s">
        <v>117</v>
      </c>
      <c r="F160" s="782">
        <f>F157+F158+F159</f>
        <v>3507.1550000000002</v>
      </c>
      <c r="G160" s="780"/>
      <c r="H160" s="121"/>
      <c r="I160" s="121"/>
      <c r="J160" s="121"/>
    </row>
    <row r="161" spans="1:10" s="149" customFormat="1" ht="42.75" hidden="1" customHeight="1">
      <c r="A161" s="5"/>
      <c r="B161" s="472" t="s">
        <v>1283</v>
      </c>
      <c r="C161" s="781"/>
      <c r="D161" s="780"/>
      <c r="E161" s="782"/>
      <c r="F161" s="782"/>
      <c r="G161" s="780"/>
      <c r="H161" s="121"/>
      <c r="I161" s="121"/>
      <c r="J161" s="121"/>
    </row>
    <row r="162" spans="1:10" s="149" customFormat="1" hidden="1">
      <c r="A162" s="5"/>
      <c r="B162" s="472" t="s">
        <v>1278</v>
      </c>
      <c r="C162" s="781">
        <v>350</v>
      </c>
      <c r="D162" s="780" t="s">
        <v>1279</v>
      </c>
      <c r="E162" s="782">
        <f>Lead!J24</f>
        <v>1747.4</v>
      </c>
      <c r="F162" s="782">
        <f>(C162*E162)/1000</f>
        <v>611.59</v>
      </c>
      <c r="G162" s="780"/>
      <c r="H162" s="121"/>
      <c r="I162" s="121"/>
      <c r="J162" s="121"/>
    </row>
    <row r="163" spans="1:10" s="149" customFormat="1" hidden="1">
      <c r="A163" s="5"/>
      <c r="B163" s="472" t="s">
        <v>104</v>
      </c>
      <c r="C163" s="781">
        <v>0.28000000000000003</v>
      </c>
      <c r="D163" s="780" t="s">
        <v>297</v>
      </c>
      <c r="E163" s="782">
        <f>Lead!J20</f>
        <v>196.4</v>
      </c>
      <c r="F163" s="782">
        <f>C163*E163</f>
        <v>54.992000000000004</v>
      </c>
      <c r="G163" s="780"/>
      <c r="H163" s="121"/>
      <c r="I163" s="121"/>
      <c r="J163" s="121"/>
    </row>
    <row r="164" spans="1:10" s="149" customFormat="1" hidden="1">
      <c r="A164" s="5"/>
      <c r="B164" s="472" t="s">
        <v>1089</v>
      </c>
      <c r="C164" s="781">
        <v>0.67200000000000004</v>
      </c>
      <c r="D164" s="780" t="s">
        <v>1090</v>
      </c>
      <c r="E164" s="782">
        <f>Lead!J29</f>
        <v>16.899999999999999</v>
      </c>
      <c r="F164" s="782">
        <f>C164*E164</f>
        <v>11.3568</v>
      </c>
      <c r="G164" s="780"/>
      <c r="H164" s="121"/>
      <c r="I164" s="121"/>
      <c r="J164" s="121"/>
    </row>
    <row r="165" spans="1:10" s="149" customFormat="1" hidden="1">
      <c r="A165" s="5"/>
      <c r="B165" s="472"/>
      <c r="C165" s="781"/>
      <c r="D165" s="780"/>
      <c r="E165" s="782" t="s">
        <v>117</v>
      </c>
      <c r="F165" s="782">
        <f>SUM(F162:F164)</f>
        <v>677.93880000000001</v>
      </c>
      <c r="G165" s="780"/>
      <c r="H165" s="121"/>
      <c r="I165" s="121"/>
      <c r="J165" s="121"/>
    </row>
    <row r="166" spans="1:10" s="149" customFormat="1" hidden="1">
      <c r="A166" s="5"/>
      <c r="B166" s="473" t="s">
        <v>1284</v>
      </c>
      <c r="C166" s="781"/>
      <c r="D166" s="780"/>
      <c r="E166" s="782" t="s">
        <v>1102</v>
      </c>
      <c r="F166" s="782">
        <f>F160+F165</f>
        <v>4185.0938000000006</v>
      </c>
      <c r="G166" s="782">
        <f>F166</f>
        <v>4185.0938000000006</v>
      </c>
      <c r="H166" s="121"/>
      <c r="I166" s="121"/>
      <c r="J166" s="121"/>
    </row>
    <row r="167" spans="1:10" s="149" customFormat="1" hidden="1">
      <c r="A167" s="5"/>
      <c r="B167" s="472" t="s">
        <v>1285</v>
      </c>
      <c r="C167" s="781"/>
      <c r="D167" s="780"/>
      <c r="E167" s="782"/>
      <c r="F167" s="782">
        <f>F166*0.01</f>
        <v>41.850938000000006</v>
      </c>
      <c r="G167" s="782"/>
      <c r="H167" s="121"/>
      <c r="I167" s="121"/>
      <c r="J167" s="121"/>
    </row>
    <row r="168" spans="1:10" s="149" customFormat="1" hidden="1">
      <c r="A168" s="5"/>
      <c r="B168" s="472"/>
      <c r="C168" s="781"/>
      <c r="D168" s="780"/>
      <c r="E168" s="782"/>
      <c r="F168" s="782">
        <f>SUM(F166:F167)</f>
        <v>4226.9447380000001</v>
      </c>
      <c r="G168" s="782">
        <f>SUM(G166:G167)</f>
        <v>4185.0938000000006</v>
      </c>
      <c r="H168" s="121"/>
      <c r="I168" s="121"/>
      <c r="J168" s="121"/>
    </row>
    <row r="169" spans="1:10" s="149" customFormat="1" hidden="1">
      <c r="A169" s="5" t="s">
        <v>38</v>
      </c>
      <c r="B169" s="472"/>
      <c r="C169" s="781"/>
      <c r="D169" s="780"/>
      <c r="E169" s="783" t="s">
        <v>463</v>
      </c>
      <c r="F169" s="784">
        <f>ROUND(F168,1)</f>
        <v>4226.8999999999996</v>
      </c>
      <c r="G169" s="783" t="s">
        <v>1286</v>
      </c>
      <c r="H169" s="121"/>
      <c r="I169" s="121"/>
      <c r="J169" s="121"/>
    </row>
    <row r="170" spans="1:10" s="149" customFormat="1" hidden="1">
      <c r="A170" s="5"/>
      <c r="B170" s="473" t="s">
        <v>1287</v>
      </c>
      <c r="C170" s="781"/>
      <c r="D170" s="780"/>
      <c r="E170" s="782"/>
      <c r="F170" s="782">
        <f>SUM(33*1.01)</f>
        <v>33.33</v>
      </c>
      <c r="G170" s="782">
        <v>33</v>
      </c>
      <c r="H170" s="121"/>
      <c r="I170" s="121"/>
      <c r="J170" s="121"/>
    </row>
    <row r="171" spans="1:10" s="149" customFormat="1" hidden="1">
      <c r="A171" s="5"/>
      <c r="B171" s="472" t="s">
        <v>1288</v>
      </c>
      <c r="C171" s="781"/>
      <c r="D171" s="780"/>
      <c r="E171" s="782"/>
      <c r="F171" s="782">
        <f>SUM(F168+F170)</f>
        <v>4260.2747380000001</v>
      </c>
      <c r="G171" s="782">
        <f>SUM(G168+G170)</f>
        <v>4218.0938000000006</v>
      </c>
      <c r="H171" s="121"/>
      <c r="I171" s="121"/>
      <c r="J171" s="121"/>
    </row>
    <row r="172" spans="1:10" s="149" customFormat="1" hidden="1">
      <c r="A172" s="5"/>
      <c r="B172" s="472"/>
      <c r="C172" s="781"/>
      <c r="D172" s="780"/>
      <c r="E172" s="783" t="s">
        <v>463</v>
      </c>
      <c r="F172" s="784">
        <f>ROUND(F171,1)</f>
        <v>4260.3</v>
      </c>
      <c r="G172" s="783" t="s">
        <v>1286</v>
      </c>
      <c r="H172" s="121"/>
      <c r="I172" s="121"/>
      <c r="J172" s="121"/>
    </row>
    <row r="173" spans="1:10" s="149" customFormat="1" hidden="1">
      <c r="A173" s="5"/>
      <c r="B173" s="472" t="s">
        <v>1183</v>
      </c>
      <c r="C173" s="781"/>
      <c r="D173" s="780"/>
      <c r="E173" s="782"/>
      <c r="F173" s="782"/>
      <c r="G173" s="780"/>
      <c r="H173" s="121"/>
      <c r="I173" s="121"/>
      <c r="J173" s="121"/>
    </row>
    <row r="174" spans="1:10" s="149" customFormat="1" hidden="1">
      <c r="A174" s="5"/>
      <c r="B174" s="472" t="s">
        <v>1184</v>
      </c>
      <c r="C174" s="781"/>
      <c r="D174" s="780"/>
      <c r="E174" s="782"/>
      <c r="F174" s="782">
        <f>F171</f>
        <v>4260.2747380000001</v>
      </c>
      <c r="G174" s="780"/>
      <c r="H174" s="121"/>
      <c r="I174" s="121"/>
      <c r="J174" s="121"/>
    </row>
    <row r="175" spans="1:10" s="149" customFormat="1" hidden="1">
      <c r="A175" s="5"/>
      <c r="B175" s="472" t="s">
        <v>1289</v>
      </c>
      <c r="C175" s="781"/>
      <c r="D175" s="780"/>
      <c r="E175" s="782"/>
      <c r="F175" s="782">
        <f>F156*0.15</f>
        <v>140.25</v>
      </c>
      <c r="G175" s="780"/>
      <c r="H175" s="121"/>
      <c r="I175" s="121"/>
      <c r="J175" s="121"/>
    </row>
    <row r="176" spans="1:10" s="149" customFormat="1" hidden="1">
      <c r="B176" s="472" t="s">
        <v>1290</v>
      </c>
      <c r="C176" s="781"/>
      <c r="D176" s="780"/>
      <c r="E176" s="782"/>
      <c r="F176" s="782">
        <f>SUM(F175*0.15)</f>
        <v>21.037499999999998</v>
      </c>
      <c r="G176" s="780"/>
      <c r="H176" s="121"/>
      <c r="I176" s="121"/>
      <c r="J176" s="121"/>
    </row>
    <row r="177" spans="1:10" s="268" customFormat="1" ht="11.25" hidden="1" customHeight="1">
      <c r="A177" s="265"/>
      <c r="B177" s="472" t="s">
        <v>1285</v>
      </c>
      <c r="C177" s="781"/>
      <c r="D177" s="780"/>
      <c r="E177" s="782"/>
      <c r="F177" s="782">
        <f>(F175+F176)*0.01</f>
        <v>1.6128750000000001</v>
      </c>
      <c r="G177" s="780"/>
      <c r="H177" s="774"/>
    </row>
    <row r="178" spans="1:10" s="268" customFormat="1" ht="11.25" hidden="1" customHeight="1">
      <c r="A178" s="265"/>
      <c r="B178" s="472"/>
      <c r="C178" s="781"/>
      <c r="D178" s="780"/>
      <c r="E178" s="782" t="s">
        <v>117</v>
      </c>
      <c r="F178" s="782">
        <f>F174+F175+F176+F177</f>
        <v>4423.1751130000002</v>
      </c>
      <c r="G178" s="780"/>
      <c r="H178" s="774"/>
    </row>
    <row r="179" spans="1:10" s="268" customFormat="1" ht="11.25" hidden="1" customHeight="1">
      <c r="A179" s="265"/>
      <c r="B179" s="472"/>
      <c r="C179" s="781"/>
      <c r="D179" s="780"/>
      <c r="E179" s="783" t="s">
        <v>120</v>
      </c>
      <c r="F179" s="784">
        <f>ROUND(F178,1)</f>
        <v>4423.2</v>
      </c>
      <c r="G179" s="783" t="s">
        <v>1286</v>
      </c>
      <c r="H179" s="774"/>
    </row>
    <row r="180" spans="1:10" s="268" customFormat="1" ht="11.25" hidden="1" customHeight="1">
      <c r="A180" s="265"/>
      <c r="B180" s="472"/>
      <c r="C180" s="781"/>
      <c r="D180" s="780"/>
      <c r="E180" s="783"/>
      <c r="F180" s="783"/>
      <c r="G180" s="783"/>
      <c r="H180" s="774"/>
    </row>
    <row r="181" spans="1:10" s="268" customFormat="1" ht="11.25" hidden="1" customHeight="1">
      <c r="A181" s="265"/>
      <c r="B181" s="472" t="s">
        <v>1187</v>
      </c>
      <c r="C181" s="781"/>
      <c r="D181" s="780"/>
      <c r="E181" s="782"/>
      <c r="F181" s="782"/>
      <c r="G181" s="780"/>
      <c r="H181" s="774"/>
    </row>
    <row r="182" spans="1:10" s="268" customFormat="1" ht="11.25" hidden="1" customHeight="1">
      <c r="A182" s="265"/>
      <c r="B182" s="472" t="s">
        <v>1184</v>
      </c>
      <c r="C182" s="781"/>
      <c r="D182" s="780"/>
      <c r="E182" s="782"/>
      <c r="F182" s="782">
        <f>F178</f>
        <v>4423.1751130000002</v>
      </c>
      <c r="G182" s="780"/>
      <c r="H182" s="774"/>
    </row>
    <row r="183" spans="1:10" s="268" customFormat="1" ht="11.25" hidden="1" customHeight="1">
      <c r="A183" s="265"/>
      <c r="B183" s="472" t="s">
        <v>1289</v>
      </c>
      <c r="C183" s="781"/>
      <c r="D183" s="780"/>
      <c r="E183" s="782"/>
      <c r="F183" s="782">
        <f>F175*1.15</f>
        <v>161.28749999999999</v>
      </c>
      <c r="G183" s="780"/>
      <c r="H183" s="774"/>
    </row>
    <row r="184" spans="1:10" s="268" customFormat="1" ht="11.25" hidden="1" customHeight="1">
      <c r="A184" s="265"/>
      <c r="B184" s="472" t="s">
        <v>1290</v>
      </c>
      <c r="C184" s="781"/>
      <c r="D184" s="780"/>
      <c r="E184" s="782"/>
      <c r="F184" s="782">
        <f>SUM(F183*0.15)</f>
        <v>24.193124999999998</v>
      </c>
      <c r="G184" s="780"/>
      <c r="H184" s="774"/>
    </row>
    <row r="185" spans="1:10" s="268" customFormat="1" ht="11.25" hidden="1" customHeight="1">
      <c r="A185" s="265"/>
      <c r="B185" s="472" t="s">
        <v>1285</v>
      </c>
      <c r="C185" s="781"/>
      <c r="D185" s="780"/>
      <c r="E185" s="782"/>
      <c r="F185" s="782">
        <f>SUM(F183:F184)*0.01</f>
        <v>1.85480625</v>
      </c>
      <c r="G185" s="780"/>
      <c r="H185" s="774"/>
    </row>
    <row r="186" spans="1:10" s="268" customFormat="1" ht="11.25" hidden="1" customHeight="1">
      <c r="A186" s="265"/>
      <c r="B186" s="472"/>
      <c r="C186" s="781"/>
      <c r="D186" s="780"/>
      <c r="E186" s="782" t="s">
        <v>1181</v>
      </c>
      <c r="F186" s="784">
        <f>SUM(F182:F185)</f>
        <v>4610.5105442500007</v>
      </c>
      <c r="G186" s="780"/>
      <c r="H186" s="774"/>
    </row>
    <row r="187" spans="1:10" s="149" customFormat="1" hidden="1">
      <c r="B187" s="472"/>
      <c r="C187" s="781"/>
      <c r="D187" s="780"/>
      <c r="E187" s="783" t="s">
        <v>120</v>
      </c>
      <c r="F187" s="783">
        <f>ROUND(F186,1)</f>
        <v>4610.5</v>
      </c>
      <c r="G187" s="783" t="s">
        <v>1286</v>
      </c>
      <c r="H187" s="121"/>
      <c r="I187" s="121"/>
      <c r="J187" s="121"/>
    </row>
    <row r="188" spans="1:10" s="149" customFormat="1" hidden="1">
      <c r="C188" s="777"/>
      <c r="D188" s="777"/>
      <c r="E188" s="777"/>
      <c r="F188" s="777"/>
      <c r="G188" s="121"/>
      <c r="H188" s="121"/>
      <c r="I188" s="121"/>
      <c r="J188" s="121"/>
    </row>
    <row r="189" spans="1:10" s="149" customFormat="1" ht="51" hidden="1">
      <c r="A189" s="133">
        <v>10</v>
      </c>
      <c r="B189" s="99" t="s">
        <v>992</v>
      </c>
      <c r="C189" s="777"/>
      <c r="D189" s="777"/>
      <c r="E189" s="777"/>
      <c r="F189" s="777"/>
      <c r="G189" s="121"/>
      <c r="H189" s="121"/>
      <c r="I189" s="121"/>
      <c r="J189" s="121"/>
    </row>
    <row r="190" spans="1:10" s="149" customFormat="1" hidden="1">
      <c r="A190" s="379"/>
      <c r="B190" s="99"/>
      <c r="C190" s="777"/>
      <c r="D190" s="777"/>
      <c r="E190" s="777"/>
      <c r="F190" s="777"/>
      <c r="G190" s="121"/>
      <c r="H190" s="121"/>
      <c r="I190" s="121"/>
      <c r="J190" s="121"/>
    </row>
    <row r="191" spans="1:10" s="149" customFormat="1" ht="25.5" hidden="1">
      <c r="A191" s="133" t="s">
        <v>467</v>
      </c>
      <c r="B191" s="380" t="s">
        <v>991</v>
      </c>
      <c r="C191" s="777"/>
      <c r="D191" s="777"/>
      <c r="E191" s="777"/>
      <c r="F191" s="777"/>
      <c r="G191" s="121"/>
      <c r="H191" s="121"/>
      <c r="I191" s="121"/>
      <c r="J191" s="121"/>
    </row>
    <row r="192" spans="1:10" s="149" customFormat="1" hidden="1">
      <c r="B192" s="15" t="s">
        <v>80</v>
      </c>
      <c r="C192" s="16"/>
      <c r="D192" s="16"/>
      <c r="E192" s="16"/>
      <c r="F192" s="16"/>
      <c r="G192" s="121"/>
      <c r="H192" s="121"/>
      <c r="I192" s="121"/>
      <c r="J192" s="121"/>
    </row>
    <row r="193" spans="2:10" s="149" customFormat="1" hidden="1">
      <c r="B193" s="99" t="s">
        <v>131</v>
      </c>
      <c r="C193" s="16"/>
      <c r="D193" s="16"/>
      <c r="E193" s="16"/>
      <c r="F193" s="16"/>
      <c r="G193" s="121"/>
      <c r="H193" s="121"/>
      <c r="I193" s="121"/>
      <c r="J193" s="121"/>
    </row>
    <row r="194" spans="2:10" s="149" customFormat="1" hidden="1">
      <c r="B194" s="15" t="s">
        <v>81</v>
      </c>
      <c r="C194" s="96" t="s">
        <v>82</v>
      </c>
      <c r="D194" s="96" t="s">
        <v>123</v>
      </c>
      <c r="E194" s="16">
        <v>18823</v>
      </c>
      <c r="F194" s="96">
        <f>E194*C194</f>
        <v>5025.741</v>
      </c>
      <c r="G194" s="121"/>
      <c r="H194" s="121"/>
      <c r="I194" s="121"/>
      <c r="J194" s="121"/>
    </row>
    <row r="195" spans="2:10" s="149" customFormat="1" hidden="1">
      <c r="B195" s="15" t="s">
        <v>83</v>
      </c>
      <c r="C195" s="96">
        <v>12.6</v>
      </c>
      <c r="D195" s="96" t="s">
        <v>41</v>
      </c>
      <c r="E195" s="96">
        <v>50</v>
      </c>
      <c r="F195" s="96">
        <f>E195*C195</f>
        <v>630</v>
      </c>
      <c r="G195" s="121"/>
      <c r="H195" s="121"/>
      <c r="I195" s="121"/>
      <c r="J195" s="121"/>
    </row>
    <row r="196" spans="2:10" s="149" customFormat="1" hidden="1">
      <c r="B196" s="15" t="s">
        <v>42</v>
      </c>
      <c r="C196" s="96">
        <v>0.32840000000000003</v>
      </c>
      <c r="D196" s="96" t="s">
        <v>43</v>
      </c>
      <c r="E196" s="96">
        <v>169</v>
      </c>
      <c r="F196" s="96">
        <f>E196/1.25*C196</f>
        <v>44.399679999999996</v>
      </c>
      <c r="G196" s="121"/>
      <c r="H196" s="121"/>
      <c r="I196" s="121"/>
      <c r="J196" s="121"/>
    </row>
    <row r="197" spans="2:10" s="149" customFormat="1" hidden="1">
      <c r="B197" s="15" t="s">
        <v>117</v>
      </c>
      <c r="C197" s="16"/>
      <c r="D197" s="16"/>
      <c r="E197" s="16"/>
      <c r="F197" s="778">
        <f>SUM(F194:F196)</f>
        <v>5700.1406800000004</v>
      </c>
      <c r="G197" s="121"/>
      <c r="H197" s="121"/>
      <c r="I197" s="121"/>
      <c r="J197" s="121"/>
    </row>
    <row r="198" spans="2:10" s="149" customFormat="1" hidden="1">
      <c r="B198" s="15" t="s">
        <v>175</v>
      </c>
      <c r="C198" s="16"/>
      <c r="D198" s="16"/>
      <c r="E198" s="16"/>
      <c r="F198" s="96">
        <f>F197/10</f>
        <v>570.01406800000007</v>
      </c>
      <c r="G198" s="121"/>
      <c r="H198" s="121"/>
      <c r="I198" s="121"/>
      <c r="J198" s="121"/>
    </row>
    <row r="199" spans="2:10" s="149" customFormat="1" hidden="1">
      <c r="B199" s="99" t="s">
        <v>137</v>
      </c>
      <c r="C199" s="16"/>
      <c r="D199" s="16"/>
      <c r="E199" s="16"/>
      <c r="F199" s="16"/>
      <c r="G199" s="121"/>
      <c r="H199" s="121"/>
      <c r="I199" s="121"/>
      <c r="J199" s="121"/>
    </row>
    <row r="200" spans="2:10" s="149" customFormat="1" hidden="1">
      <c r="B200" s="15" t="s">
        <v>44</v>
      </c>
      <c r="C200" s="96">
        <v>0.5</v>
      </c>
      <c r="D200" s="96" t="s">
        <v>114</v>
      </c>
      <c r="E200" s="96">
        <f>Lead!E60</f>
        <v>240</v>
      </c>
      <c r="F200" s="96">
        <f>E200*C200</f>
        <v>120</v>
      </c>
      <c r="G200" s="121"/>
      <c r="H200" s="121"/>
      <c r="I200" s="121"/>
      <c r="J200" s="121"/>
    </row>
    <row r="201" spans="2:10" s="149" customFormat="1" hidden="1">
      <c r="B201" s="15" t="s">
        <v>154</v>
      </c>
      <c r="C201" s="96">
        <v>0.5</v>
      </c>
      <c r="D201" s="96" t="s">
        <v>114</v>
      </c>
      <c r="E201" s="96">
        <f>Lead!E54</f>
        <v>220</v>
      </c>
      <c r="F201" s="96">
        <f>E201*C201</f>
        <v>110</v>
      </c>
      <c r="G201" s="121"/>
      <c r="H201" s="121"/>
      <c r="I201" s="121"/>
      <c r="J201" s="121"/>
    </row>
    <row r="202" spans="2:10" s="149" customFormat="1" hidden="1">
      <c r="B202" s="3" t="s">
        <v>322</v>
      </c>
      <c r="C202" s="16"/>
      <c r="D202" s="96" t="s">
        <v>116</v>
      </c>
      <c r="E202" s="96">
        <f>SUM(F198:F201)</f>
        <v>800.01406800000007</v>
      </c>
      <c r="F202" s="96">
        <f>E202*0.075</f>
        <v>60.001055100000002</v>
      </c>
      <c r="G202" s="121"/>
      <c r="H202" s="121"/>
      <c r="I202" s="121"/>
      <c r="J202" s="121"/>
    </row>
    <row r="203" spans="2:10" s="149" customFormat="1" hidden="1">
      <c r="B203" s="63" t="s">
        <v>323</v>
      </c>
      <c r="C203" s="16"/>
      <c r="D203" s="96" t="s">
        <v>116</v>
      </c>
      <c r="E203" s="96">
        <f>SUM(F198:F201)</f>
        <v>800.01406800000007</v>
      </c>
      <c r="F203" s="96">
        <f>E203*0.075</f>
        <v>60.001055100000002</v>
      </c>
      <c r="G203" s="121"/>
      <c r="H203" s="121"/>
      <c r="I203" s="121"/>
      <c r="J203" s="121"/>
    </row>
    <row r="204" spans="2:10" s="149" customFormat="1" hidden="1">
      <c r="B204" s="15" t="s">
        <v>117</v>
      </c>
      <c r="C204" s="16"/>
      <c r="D204" s="16"/>
      <c r="E204" s="16"/>
      <c r="F204" s="778">
        <f>SUM(F198:F203)</f>
        <v>920.01617820000013</v>
      </c>
      <c r="G204" s="121"/>
      <c r="H204" s="121"/>
      <c r="I204" s="121"/>
      <c r="J204" s="121"/>
    </row>
    <row r="205" spans="2:10" s="149" customFormat="1" hidden="1">
      <c r="B205" s="15" t="s">
        <v>60</v>
      </c>
      <c r="C205" s="16"/>
      <c r="D205" s="16"/>
      <c r="E205" s="16"/>
      <c r="F205" s="96">
        <f>F204/10</f>
        <v>92.001617820000007</v>
      </c>
      <c r="G205" s="121"/>
      <c r="H205" s="121"/>
      <c r="I205" s="121"/>
      <c r="J205" s="121"/>
    </row>
    <row r="206" spans="2:10" s="149" customFormat="1" hidden="1">
      <c r="B206" s="15" t="s">
        <v>429</v>
      </c>
      <c r="C206" s="16"/>
      <c r="D206" s="16"/>
      <c r="E206" s="16"/>
      <c r="F206" s="96">
        <f>F205*1%</f>
        <v>0.92001617820000003</v>
      </c>
      <c r="G206" s="121"/>
      <c r="H206" s="121"/>
      <c r="I206" s="121"/>
      <c r="J206" s="121"/>
    </row>
    <row r="207" spans="2:10" s="149" customFormat="1" hidden="1">
      <c r="B207" s="15"/>
      <c r="C207" s="16"/>
      <c r="D207" s="16"/>
      <c r="E207" s="16"/>
      <c r="F207" s="778">
        <f>SUM(F205:F206)</f>
        <v>92.921633998200008</v>
      </c>
      <c r="G207" s="121"/>
      <c r="H207" s="121"/>
      <c r="I207" s="121"/>
      <c r="J207" s="121"/>
    </row>
    <row r="208" spans="2:10" s="149" customFormat="1" hidden="1">
      <c r="B208" s="45"/>
      <c r="C208" s="777"/>
      <c r="D208" s="777"/>
      <c r="E208" s="777" t="s">
        <v>120</v>
      </c>
      <c r="F208" s="777">
        <f>ROUND(F207,1)</f>
        <v>92.9</v>
      </c>
      <c r="G208" s="121"/>
      <c r="H208" s="121"/>
      <c r="I208" s="121"/>
      <c r="J208" s="121"/>
    </row>
    <row r="209" spans="1:10" s="20" customFormat="1" hidden="1">
      <c r="A209" s="98" t="s">
        <v>38</v>
      </c>
      <c r="B209" s="15" t="s">
        <v>71</v>
      </c>
      <c r="C209" s="16"/>
      <c r="D209" s="96" t="s">
        <v>161</v>
      </c>
      <c r="E209" s="777"/>
      <c r="F209" s="777"/>
      <c r="G209" s="4"/>
      <c r="H209" s="4"/>
    </row>
    <row r="210" spans="1:10" s="20" customFormat="1" hidden="1">
      <c r="A210" s="5"/>
      <c r="B210" s="15" t="s">
        <v>157</v>
      </c>
      <c r="C210" s="16"/>
      <c r="D210" s="16"/>
      <c r="E210" s="16"/>
      <c r="F210" s="16">
        <f>F207</f>
        <v>92.921633998200008</v>
      </c>
      <c r="G210" s="4"/>
      <c r="H210" s="4"/>
    </row>
    <row r="211" spans="1:10" s="20" customFormat="1" hidden="1">
      <c r="A211" s="5"/>
      <c r="B211" s="15" t="s">
        <v>277</v>
      </c>
      <c r="C211" s="96"/>
      <c r="D211" s="96" t="s">
        <v>116</v>
      </c>
      <c r="E211" s="96">
        <f>F207</f>
        <v>92.921633998200008</v>
      </c>
      <c r="F211" s="96">
        <f>E211*0.2</f>
        <v>18.584326799640003</v>
      </c>
      <c r="G211" s="4"/>
      <c r="H211" s="4"/>
    </row>
    <row r="212" spans="1:10" s="20" customFormat="1" hidden="1">
      <c r="A212" s="5"/>
      <c r="B212" s="15" t="s">
        <v>117</v>
      </c>
      <c r="C212" s="96"/>
      <c r="D212" s="96"/>
      <c r="E212" s="96"/>
      <c r="F212" s="96">
        <f>SUM(F210:F211)</f>
        <v>111.50596079784</v>
      </c>
      <c r="G212" s="4"/>
      <c r="H212" s="4"/>
    </row>
    <row r="213" spans="1:10" s="20" customFormat="1" hidden="1">
      <c r="A213" s="5"/>
      <c r="B213" s="45"/>
      <c r="C213" s="777"/>
      <c r="D213" s="777"/>
      <c r="E213" s="777" t="s">
        <v>120</v>
      </c>
      <c r="F213" s="777">
        <f>ROUND(F212,1)</f>
        <v>111.5</v>
      </c>
      <c r="G213" s="4"/>
      <c r="H213" s="4"/>
    </row>
    <row r="214" spans="1:10" s="20" customFormat="1" hidden="1">
      <c r="A214" s="5" t="s">
        <v>39</v>
      </c>
      <c r="B214" s="64" t="s">
        <v>267</v>
      </c>
      <c r="C214" s="777"/>
      <c r="D214" s="96" t="s">
        <v>161</v>
      </c>
      <c r="E214" s="777"/>
      <c r="F214" s="777"/>
      <c r="G214" s="4"/>
      <c r="H214" s="4"/>
    </row>
    <row r="215" spans="1:10" s="20" customFormat="1" hidden="1">
      <c r="A215" s="5"/>
      <c r="B215" s="15" t="s">
        <v>278</v>
      </c>
      <c r="C215" s="16"/>
      <c r="D215" s="16"/>
      <c r="E215" s="16"/>
      <c r="F215" s="16">
        <f>F212</f>
        <v>111.50596079784</v>
      </c>
      <c r="G215" s="4"/>
      <c r="H215" s="4"/>
    </row>
    <row r="216" spans="1:10" s="20" customFormat="1" hidden="1">
      <c r="A216" s="5"/>
      <c r="B216" s="15" t="s">
        <v>279</v>
      </c>
      <c r="C216" s="96"/>
      <c r="D216" s="96" t="s">
        <v>116</v>
      </c>
      <c r="E216" s="96">
        <f>F212</f>
        <v>111.50596079784</v>
      </c>
      <c r="F216" s="96">
        <f>E216*0.2</f>
        <v>22.301192159568004</v>
      </c>
      <c r="G216" s="4"/>
      <c r="H216" s="4"/>
    </row>
    <row r="217" spans="1:10" s="20" customFormat="1" hidden="1">
      <c r="A217" s="5"/>
      <c r="B217" s="15" t="s">
        <v>117</v>
      </c>
      <c r="C217" s="96"/>
      <c r="D217" s="96"/>
      <c r="E217" s="96"/>
      <c r="F217" s="96">
        <f>SUM(F215:F216)</f>
        <v>133.80715295740799</v>
      </c>
      <c r="G217" s="4"/>
      <c r="H217" s="4"/>
    </row>
    <row r="218" spans="1:10" s="20" customFormat="1" hidden="1">
      <c r="A218" s="5"/>
      <c r="B218" s="45"/>
      <c r="C218" s="777"/>
      <c r="D218" s="777"/>
      <c r="E218" s="777" t="s">
        <v>120</v>
      </c>
      <c r="F218" s="777">
        <f>ROUND(F217,1)</f>
        <v>133.80000000000001</v>
      </c>
      <c r="G218" s="4"/>
      <c r="H218" s="4"/>
    </row>
    <row r="219" spans="1:10" s="149" customFormat="1" hidden="1">
      <c r="C219" s="121"/>
      <c r="D219" s="121"/>
      <c r="E219" s="121"/>
      <c r="F219" s="121"/>
      <c r="G219" s="121"/>
      <c r="H219" s="121"/>
      <c r="I219" s="121"/>
      <c r="J219" s="121"/>
    </row>
    <row r="220" spans="1:10" s="149" customFormat="1" ht="25.5" hidden="1">
      <c r="A220" s="133" t="s">
        <v>468</v>
      </c>
      <c r="B220" s="380" t="s">
        <v>993</v>
      </c>
      <c r="C220" s="121"/>
      <c r="D220" s="121"/>
      <c r="E220" s="121"/>
      <c r="F220" s="121"/>
      <c r="G220" s="121"/>
      <c r="H220" s="121"/>
      <c r="I220" s="121"/>
      <c r="J220" s="121"/>
    </row>
    <row r="221" spans="1:10" s="149" customFormat="1" hidden="1">
      <c r="B221" s="15" t="s">
        <v>997</v>
      </c>
      <c r="C221" s="121"/>
      <c r="D221" s="121"/>
      <c r="E221" s="121"/>
      <c r="F221" s="121"/>
      <c r="G221" s="121"/>
      <c r="H221" s="121"/>
      <c r="I221" s="121"/>
      <c r="J221" s="121"/>
    </row>
    <row r="222" spans="1:10" s="149" customFormat="1" hidden="1">
      <c r="B222" s="99" t="s">
        <v>131</v>
      </c>
      <c r="C222" s="16"/>
      <c r="D222" s="16"/>
      <c r="E222" s="16"/>
      <c r="F222" s="16"/>
      <c r="G222" s="121"/>
      <c r="H222" s="121"/>
      <c r="I222" s="121"/>
      <c r="J222" s="121"/>
    </row>
    <row r="223" spans="1:10" s="149" customFormat="1" ht="25.5" hidden="1">
      <c r="B223" s="15" t="s">
        <v>994</v>
      </c>
      <c r="C223" s="134">
        <v>0.112</v>
      </c>
      <c r="D223" s="96" t="s">
        <v>123</v>
      </c>
      <c r="E223" s="16">
        <v>18823</v>
      </c>
      <c r="F223" s="96">
        <f>E223*C223</f>
        <v>2108.1759999999999</v>
      </c>
      <c r="G223" s="121"/>
      <c r="H223" s="121"/>
      <c r="I223" s="121"/>
      <c r="J223" s="121"/>
    </row>
    <row r="224" spans="1:10" s="149" customFormat="1" hidden="1">
      <c r="B224" s="15" t="s">
        <v>995</v>
      </c>
      <c r="C224" s="96">
        <v>0.34</v>
      </c>
      <c r="D224" s="96" t="s">
        <v>123</v>
      </c>
      <c r="E224" s="16">
        <v>18823</v>
      </c>
      <c r="F224" s="96">
        <f>E224*C224</f>
        <v>6399.8200000000006</v>
      </c>
      <c r="G224" s="121"/>
      <c r="H224" s="121"/>
      <c r="I224" s="121"/>
      <c r="J224" s="121"/>
    </row>
    <row r="225" spans="1:10" s="149" customFormat="1" hidden="1">
      <c r="B225" s="15" t="s">
        <v>996</v>
      </c>
      <c r="C225" s="96">
        <v>56</v>
      </c>
      <c r="D225" s="96" t="s">
        <v>41</v>
      </c>
      <c r="E225" s="96">
        <v>108</v>
      </c>
      <c r="F225" s="96">
        <f>E225*C225</f>
        <v>6048</v>
      </c>
      <c r="G225" s="121"/>
      <c r="H225" s="121"/>
      <c r="I225" s="121"/>
      <c r="J225" s="121"/>
    </row>
    <row r="226" spans="1:10" s="149" customFormat="1" hidden="1">
      <c r="B226" s="15" t="s">
        <v>42</v>
      </c>
      <c r="C226" s="134">
        <v>1.1419999999999999</v>
      </c>
      <c r="D226" s="96" t="s">
        <v>43</v>
      </c>
      <c r="E226" s="96">
        <v>169</v>
      </c>
      <c r="F226" s="96">
        <f>E226/1.25*C226</f>
        <v>154.39839999999998</v>
      </c>
      <c r="G226" s="121"/>
      <c r="H226" s="121"/>
      <c r="I226" s="121"/>
      <c r="J226" s="121"/>
    </row>
    <row r="227" spans="1:10" s="149" customFormat="1" hidden="1">
      <c r="B227" s="15" t="s">
        <v>117</v>
      </c>
      <c r="C227" s="16"/>
      <c r="D227" s="16"/>
      <c r="E227" s="16"/>
      <c r="F227" s="96">
        <f>SUM(F223:F226)</f>
        <v>14710.394400000001</v>
      </c>
      <c r="G227" s="121"/>
      <c r="H227" s="121"/>
      <c r="I227" s="121"/>
      <c r="J227" s="121"/>
    </row>
    <row r="228" spans="1:10" s="149" customFormat="1" hidden="1">
      <c r="B228" s="15" t="s">
        <v>175</v>
      </c>
      <c r="C228" s="16"/>
      <c r="D228" s="16"/>
      <c r="E228" s="16"/>
      <c r="F228" s="96">
        <f>F227/10</f>
        <v>1471.03944</v>
      </c>
      <c r="G228" s="121"/>
      <c r="H228" s="121"/>
      <c r="I228" s="121"/>
      <c r="J228" s="121"/>
    </row>
    <row r="229" spans="1:10" s="149" customFormat="1" hidden="1">
      <c r="B229" s="99" t="s">
        <v>137</v>
      </c>
      <c r="C229" s="16"/>
      <c r="D229" s="16"/>
      <c r="E229" s="16"/>
      <c r="F229" s="16"/>
      <c r="G229" s="121"/>
      <c r="H229" s="121"/>
      <c r="I229" s="121"/>
      <c r="J229" s="121"/>
    </row>
    <row r="230" spans="1:10" s="149" customFormat="1" hidden="1">
      <c r="B230" s="15" t="s">
        <v>44</v>
      </c>
      <c r="C230" s="96">
        <v>2.75</v>
      </c>
      <c r="D230" s="96" t="s">
        <v>114</v>
      </c>
      <c r="E230" s="96">
        <f>Lead!E60</f>
        <v>240</v>
      </c>
      <c r="F230" s="96">
        <f>E230*C230</f>
        <v>660</v>
      </c>
      <c r="G230" s="121"/>
      <c r="H230" s="121"/>
      <c r="I230" s="121"/>
      <c r="J230" s="121"/>
    </row>
    <row r="231" spans="1:10" s="149" customFormat="1" hidden="1">
      <c r="B231" s="15" t="s">
        <v>154</v>
      </c>
      <c r="C231" s="96">
        <v>2.75</v>
      </c>
      <c r="D231" s="96" t="s">
        <v>114</v>
      </c>
      <c r="E231" s="96">
        <f>Lead!E54</f>
        <v>220</v>
      </c>
      <c r="F231" s="96">
        <f>E231*C231</f>
        <v>605</v>
      </c>
      <c r="G231" s="121"/>
      <c r="H231" s="121"/>
      <c r="I231" s="121"/>
      <c r="J231" s="121"/>
    </row>
    <row r="232" spans="1:10" s="149" customFormat="1" hidden="1">
      <c r="B232" s="3" t="s">
        <v>322</v>
      </c>
      <c r="C232" s="16"/>
      <c r="D232" s="96" t="s">
        <v>116</v>
      </c>
      <c r="E232" s="96">
        <f>SUM(F228:F231)</f>
        <v>2736.03944</v>
      </c>
      <c r="F232" s="96">
        <f>E232*0.075</f>
        <v>205.202958</v>
      </c>
      <c r="G232" s="121"/>
      <c r="H232" s="121"/>
      <c r="I232" s="121"/>
      <c r="J232" s="121"/>
    </row>
    <row r="233" spans="1:10" s="149" customFormat="1" hidden="1">
      <c r="B233" s="63" t="s">
        <v>323</v>
      </c>
      <c r="C233" s="16"/>
      <c r="D233" s="96" t="s">
        <v>116</v>
      </c>
      <c r="E233" s="96">
        <f>SUM(F228:F231)</f>
        <v>2736.03944</v>
      </c>
      <c r="F233" s="96">
        <f>E233*0.075</f>
        <v>205.202958</v>
      </c>
      <c r="G233" s="121"/>
      <c r="H233" s="121"/>
      <c r="I233" s="121"/>
      <c r="J233" s="121"/>
    </row>
    <row r="234" spans="1:10" s="149" customFormat="1" hidden="1">
      <c r="B234" s="15" t="s">
        <v>117</v>
      </c>
      <c r="C234" s="16"/>
      <c r="D234" s="16"/>
      <c r="E234" s="16"/>
      <c r="F234" s="96">
        <f>SUM(F228:F233)</f>
        <v>3146.4453559999997</v>
      </c>
      <c r="G234" s="121"/>
      <c r="H234" s="121"/>
      <c r="I234" s="121"/>
      <c r="J234" s="121"/>
    </row>
    <row r="235" spans="1:10" s="149" customFormat="1" hidden="1">
      <c r="B235" s="15" t="s">
        <v>60</v>
      </c>
      <c r="C235" s="16"/>
      <c r="D235" s="16"/>
      <c r="E235" s="16"/>
      <c r="F235" s="96">
        <f>F234/9</f>
        <v>349.60503955555555</v>
      </c>
      <c r="G235" s="121"/>
      <c r="H235" s="121"/>
      <c r="I235" s="121"/>
      <c r="J235" s="121"/>
    </row>
    <row r="236" spans="1:10" s="149" customFormat="1" hidden="1">
      <c r="B236" s="15" t="s">
        <v>429</v>
      </c>
      <c r="C236" s="16"/>
      <c r="D236" s="16"/>
      <c r="E236" s="16"/>
      <c r="F236" s="96">
        <f>F235*1%</f>
        <v>3.4960503955555557</v>
      </c>
      <c r="G236" s="121"/>
      <c r="H236" s="121"/>
      <c r="I236" s="121"/>
      <c r="J236" s="121"/>
    </row>
    <row r="237" spans="1:10" s="149" customFormat="1" hidden="1">
      <c r="B237" s="15"/>
      <c r="C237" s="16"/>
      <c r="D237" s="16"/>
      <c r="E237" s="16"/>
      <c r="F237" s="778">
        <f>SUM(F235:F236)</f>
        <v>353.10108995111108</v>
      </c>
      <c r="G237" s="121"/>
      <c r="H237" s="121"/>
      <c r="I237" s="121"/>
      <c r="J237" s="121"/>
    </row>
    <row r="238" spans="1:10" s="149" customFormat="1" hidden="1">
      <c r="B238" s="45"/>
      <c r="C238" s="777"/>
      <c r="D238" s="777"/>
      <c r="E238" s="777" t="s">
        <v>120</v>
      </c>
      <c r="F238" s="777">
        <f>ROUND(F237,1)</f>
        <v>353.1</v>
      </c>
      <c r="G238" s="121"/>
      <c r="H238" s="121"/>
      <c r="I238" s="121"/>
      <c r="J238" s="121"/>
    </row>
    <row r="239" spans="1:10" s="20" customFormat="1" hidden="1">
      <c r="A239" s="98" t="s">
        <v>38</v>
      </c>
      <c r="B239" s="15" t="s">
        <v>71</v>
      </c>
      <c r="C239" s="16"/>
      <c r="D239" s="96" t="s">
        <v>161</v>
      </c>
      <c r="E239" s="777"/>
      <c r="F239" s="777"/>
      <c r="G239" s="4"/>
      <c r="H239" s="4"/>
    </row>
    <row r="240" spans="1:10" s="20" customFormat="1" hidden="1">
      <c r="A240" s="5"/>
      <c r="B240" s="15" t="s">
        <v>157</v>
      </c>
      <c r="C240" s="16"/>
      <c r="D240" s="16"/>
      <c r="E240" s="16"/>
      <c r="F240" s="16">
        <f>F237</f>
        <v>353.10108995111108</v>
      </c>
      <c r="G240" s="4"/>
      <c r="H240" s="4"/>
    </row>
    <row r="241" spans="1:10" s="20" customFormat="1" hidden="1">
      <c r="A241" s="5"/>
      <c r="B241" s="15" t="s">
        <v>277</v>
      </c>
      <c r="C241" s="96"/>
      <c r="D241" s="96" t="s">
        <v>116</v>
      </c>
      <c r="E241" s="96">
        <f>F237</f>
        <v>353.10108995111108</v>
      </c>
      <c r="F241" s="96">
        <f>E241*0.2</f>
        <v>70.620217990222216</v>
      </c>
      <c r="G241" s="4"/>
      <c r="H241" s="4"/>
    </row>
    <row r="242" spans="1:10" s="20" customFormat="1" hidden="1">
      <c r="A242" s="5"/>
      <c r="B242" s="15" t="s">
        <v>117</v>
      </c>
      <c r="C242" s="96"/>
      <c r="D242" s="96"/>
      <c r="E242" s="96"/>
      <c r="F242" s="96">
        <f>SUM(F240:F241)</f>
        <v>423.72130794133329</v>
      </c>
      <c r="G242" s="4"/>
      <c r="H242" s="4"/>
    </row>
    <row r="243" spans="1:10" s="20" customFormat="1" hidden="1">
      <c r="A243" s="5"/>
      <c r="B243" s="45"/>
      <c r="C243" s="777"/>
      <c r="D243" s="777"/>
      <c r="E243" s="777" t="s">
        <v>120</v>
      </c>
      <c r="F243" s="777">
        <f>ROUND(F242,1)</f>
        <v>423.7</v>
      </c>
      <c r="G243" s="4"/>
      <c r="H243" s="4"/>
    </row>
    <row r="244" spans="1:10" s="20" customFormat="1" hidden="1">
      <c r="A244" s="5" t="s">
        <v>39</v>
      </c>
      <c r="B244" s="64" t="s">
        <v>267</v>
      </c>
      <c r="C244" s="777"/>
      <c r="D244" s="96" t="s">
        <v>161</v>
      </c>
      <c r="E244" s="777"/>
      <c r="F244" s="777"/>
      <c r="G244" s="4"/>
      <c r="H244" s="4"/>
    </row>
    <row r="245" spans="1:10" s="20" customFormat="1" hidden="1">
      <c r="A245" s="5"/>
      <c r="B245" s="15" t="s">
        <v>278</v>
      </c>
      <c r="C245" s="16"/>
      <c r="D245" s="16"/>
      <c r="E245" s="16"/>
      <c r="F245" s="16">
        <f>F242</f>
        <v>423.72130794133329</v>
      </c>
      <c r="G245" s="4"/>
      <c r="H245" s="4"/>
    </row>
    <row r="246" spans="1:10" s="20" customFormat="1" hidden="1">
      <c r="A246" s="5"/>
      <c r="B246" s="15" t="s">
        <v>279</v>
      </c>
      <c r="C246" s="96"/>
      <c r="D246" s="96" t="s">
        <v>116</v>
      </c>
      <c r="E246" s="96">
        <f>F242</f>
        <v>423.72130794133329</v>
      </c>
      <c r="F246" s="96">
        <f>E246*0.2</f>
        <v>84.744261588266667</v>
      </c>
      <c r="G246" s="4"/>
      <c r="H246" s="4"/>
    </row>
    <row r="247" spans="1:10" s="20" customFormat="1" hidden="1">
      <c r="A247" s="5"/>
      <c r="B247" s="15" t="s">
        <v>117</v>
      </c>
      <c r="C247" s="96"/>
      <c r="D247" s="96"/>
      <c r="E247" s="96"/>
      <c r="F247" s="96">
        <f>SUM(F245:F246)</f>
        <v>508.46556952959997</v>
      </c>
      <c r="G247" s="4"/>
      <c r="H247" s="4"/>
    </row>
    <row r="248" spans="1:10" s="20" customFormat="1" hidden="1">
      <c r="A248" s="5"/>
      <c r="B248" s="45"/>
      <c r="C248" s="777"/>
      <c r="D248" s="777"/>
      <c r="E248" s="777" t="s">
        <v>120</v>
      </c>
      <c r="F248" s="777">
        <f>ROUND(F247,1)</f>
        <v>508.5</v>
      </c>
      <c r="G248" s="4"/>
      <c r="H248" s="4"/>
    </row>
    <row r="249" spans="1:10" s="149" customFormat="1" hidden="1">
      <c r="C249" s="121"/>
      <c r="D249" s="121"/>
      <c r="E249" s="121"/>
      <c r="F249" s="121"/>
      <c r="G249" s="121"/>
      <c r="H249" s="121"/>
      <c r="I249" s="121"/>
      <c r="J249" s="121"/>
    </row>
    <row r="250" spans="1:10" s="149" customFormat="1" hidden="1">
      <c r="A250" s="353" t="s">
        <v>469</v>
      </c>
      <c r="B250" s="36" t="s">
        <v>998</v>
      </c>
      <c r="C250" s="121"/>
      <c r="D250" s="121"/>
      <c r="E250" s="121"/>
      <c r="F250" s="121"/>
      <c r="G250" s="121"/>
      <c r="H250" s="121"/>
      <c r="I250" s="121"/>
      <c r="J250" s="121"/>
    </row>
    <row r="251" spans="1:10" s="149" customFormat="1" hidden="1">
      <c r="B251" s="20" t="s">
        <v>999</v>
      </c>
      <c r="C251" s="121"/>
      <c r="D251" s="121"/>
      <c r="E251" s="121"/>
      <c r="F251" s="121"/>
      <c r="G251" s="121"/>
      <c r="H251" s="121"/>
      <c r="I251" s="121"/>
      <c r="J251" s="121"/>
    </row>
    <row r="252" spans="1:10" s="149" customFormat="1" hidden="1">
      <c r="B252" s="20" t="s">
        <v>1000</v>
      </c>
      <c r="C252" s="121">
        <v>0.41299999999999998</v>
      </c>
      <c r="D252" s="96" t="s">
        <v>123</v>
      </c>
      <c r="E252" s="121">
        <v>18823</v>
      </c>
      <c r="F252" s="120">
        <f>C252*E252</f>
        <v>7773.8989999999994</v>
      </c>
      <c r="G252" s="121"/>
      <c r="H252" s="121"/>
      <c r="I252" s="121"/>
      <c r="J252" s="121"/>
    </row>
    <row r="253" spans="1:10" s="149" customFormat="1" hidden="1">
      <c r="B253" s="20" t="s">
        <v>1001</v>
      </c>
      <c r="C253" s="121">
        <v>21</v>
      </c>
      <c r="D253" s="4" t="s">
        <v>452</v>
      </c>
      <c r="E253" s="121">
        <v>75</v>
      </c>
      <c r="F253" s="120">
        <f>C253*E253</f>
        <v>1575</v>
      </c>
      <c r="G253" s="121"/>
      <c r="H253" s="121"/>
      <c r="I253" s="121"/>
      <c r="J253" s="121"/>
    </row>
    <row r="254" spans="1:10" s="149" customFormat="1" hidden="1">
      <c r="B254" s="20" t="s">
        <v>42</v>
      </c>
      <c r="C254" s="121">
        <v>0.68899999999999995</v>
      </c>
      <c r="D254" s="4" t="s">
        <v>123</v>
      </c>
      <c r="E254" s="121">
        <v>169</v>
      </c>
      <c r="F254" s="120">
        <f>C254*E254</f>
        <v>116.44099999999999</v>
      </c>
      <c r="G254" s="121"/>
      <c r="H254" s="121"/>
      <c r="I254" s="121"/>
      <c r="J254" s="121"/>
    </row>
    <row r="255" spans="1:10" s="149" customFormat="1" hidden="1">
      <c r="B255" s="15" t="s">
        <v>117</v>
      </c>
      <c r="C255" s="121"/>
      <c r="D255" s="121"/>
      <c r="E255" s="121"/>
      <c r="F255" s="120">
        <f>SUM(F252:F254)</f>
        <v>9465.34</v>
      </c>
      <c r="G255" s="121"/>
      <c r="H255" s="121"/>
      <c r="I255" s="121"/>
      <c r="J255" s="121"/>
    </row>
    <row r="256" spans="1:10" s="149" customFormat="1" hidden="1">
      <c r="B256" s="15" t="s">
        <v>175</v>
      </c>
      <c r="C256" s="121"/>
      <c r="D256" s="121"/>
      <c r="E256" s="121"/>
      <c r="F256" s="120">
        <f>F255/10</f>
        <v>946.53399999999999</v>
      </c>
      <c r="G256" s="121"/>
      <c r="H256" s="121"/>
      <c r="I256" s="121"/>
      <c r="J256" s="121"/>
    </row>
    <row r="257" spans="1:10" s="149" customFormat="1" hidden="1">
      <c r="B257" s="99" t="s">
        <v>137</v>
      </c>
      <c r="C257" s="121"/>
      <c r="D257" s="121"/>
      <c r="E257" s="121"/>
      <c r="F257" s="120"/>
      <c r="G257" s="121"/>
      <c r="H257" s="121"/>
      <c r="I257" s="121"/>
      <c r="J257" s="121"/>
    </row>
    <row r="258" spans="1:10" s="149" customFormat="1" hidden="1">
      <c r="B258" s="15" t="s">
        <v>44</v>
      </c>
      <c r="C258" s="121">
        <v>1.25</v>
      </c>
      <c r="D258" s="96" t="s">
        <v>114</v>
      </c>
      <c r="E258" s="120">
        <f>Lead!E60</f>
        <v>240</v>
      </c>
      <c r="F258" s="120">
        <f>C258*E258</f>
        <v>300</v>
      </c>
      <c r="G258" s="121"/>
      <c r="H258" s="121"/>
      <c r="I258" s="121"/>
      <c r="J258" s="121"/>
    </row>
    <row r="259" spans="1:10" s="149" customFormat="1" hidden="1">
      <c r="B259" s="15" t="s">
        <v>154</v>
      </c>
      <c r="C259" s="121">
        <v>1.25</v>
      </c>
      <c r="D259" s="96" t="s">
        <v>114</v>
      </c>
      <c r="E259" s="120">
        <f>Lead!E54</f>
        <v>220</v>
      </c>
      <c r="F259" s="120">
        <f>C259*E259</f>
        <v>275</v>
      </c>
      <c r="G259" s="121"/>
      <c r="H259" s="121"/>
      <c r="I259" s="121"/>
      <c r="J259" s="121"/>
    </row>
    <row r="260" spans="1:10" s="149" customFormat="1" ht="13.5" hidden="1" customHeight="1">
      <c r="B260" s="3" t="s">
        <v>322</v>
      </c>
      <c r="C260" s="121"/>
      <c r="D260" s="96" t="s">
        <v>116</v>
      </c>
      <c r="E260" s="96">
        <f>SUM(F256:F259)</f>
        <v>1521.5340000000001</v>
      </c>
      <c r="F260" s="96">
        <f>E260*0.075</f>
        <v>114.11505000000001</v>
      </c>
      <c r="G260" s="121"/>
      <c r="H260" s="121"/>
      <c r="I260" s="121"/>
      <c r="J260" s="121"/>
    </row>
    <row r="261" spans="1:10" s="149" customFormat="1" hidden="1">
      <c r="B261" s="63" t="s">
        <v>323</v>
      </c>
      <c r="C261" s="121"/>
      <c r="D261" s="96" t="s">
        <v>116</v>
      </c>
      <c r="E261" s="96">
        <f>SUM(F256:F259)</f>
        <v>1521.5340000000001</v>
      </c>
      <c r="F261" s="96">
        <f>E261*0.075</f>
        <v>114.11505000000001</v>
      </c>
      <c r="G261" s="121"/>
      <c r="H261" s="121"/>
      <c r="I261" s="121"/>
      <c r="J261" s="121"/>
    </row>
    <row r="262" spans="1:10" s="149" customFormat="1" hidden="1">
      <c r="B262" s="15" t="s">
        <v>117</v>
      </c>
      <c r="C262" s="121"/>
      <c r="D262" s="121"/>
      <c r="E262" s="121"/>
      <c r="F262" s="120">
        <f>SUM(F256:F261)</f>
        <v>1749.7641000000003</v>
      </c>
      <c r="G262" s="121"/>
      <c r="H262" s="121"/>
      <c r="I262" s="121"/>
      <c r="J262" s="121"/>
    </row>
    <row r="263" spans="1:10" s="149" customFormat="1" hidden="1">
      <c r="B263" s="15" t="s">
        <v>60</v>
      </c>
      <c r="C263" s="121"/>
      <c r="D263" s="121"/>
      <c r="E263" s="121"/>
      <c r="F263" s="120">
        <f>F262/7.8</f>
        <v>224.32873076923082</v>
      </c>
      <c r="G263" s="121"/>
      <c r="H263" s="121"/>
      <c r="I263" s="121"/>
      <c r="J263" s="121"/>
    </row>
    <row r="264" spans="1:10" s="149" customFormat="1" hidden="1">
      <c r="B264" s="15" t="s">
        <v>429</v>
      </c>
      <c r="C264" s="121"/>
      <c r="D264" s="121"/>
      <c r="E264" s="121"/>
      <c r="F264" s="210">
        <f>F263*1%</f>
        <v>2.2432873076923081</v>
      </c>
      <c r="G264" s="121"/>
      <c r="H264" s="121"/>
      <c r="I264" s="121"/>
      <c r="J264" s="121"/>
    </row>
    <row r="265" spans="1:10" s="149" customFormat="1" hidden="1">
      <c r="C265" s="121"/>
      <c r="D265" s="121"/>
      <c r="E265" s="121"/>
      <c r="F265" s="120">
        <f>SUM(F263:F264)</f>
        <v>226.57201807692311</v>
      </c>
      <c r="G265" s="121"/>
      <c r="H265" s="121"/>
      <c r="I265" s="121"/>
      <c r="J265" s="121"/>
    </row>
    <row r="266" spans="1:10" s="149" customFormat="1" hidden="1">
      <c r="C266" s="121"/>
      <c r="D266" s="121"/>
      <c r="E266" s="777" t="s">
        <v>120</v>
      </c>
      <c r="F266" s="777">
        <f>ROUND(F265,1)</f>
        <v>226.6</v>
      </c>
      <c r="G266" s="121"/>
      <c r="H266" s="121"/>
      <c r="I266" s="121"/>
      <c r="J266" s="121"/>
    </row>
    <row r="267" spans="1:10" s="149" customFormat="1" hidden="1">
      <c r="C267" s="121"/>
      <c r="D267" s="121"/>
      <c r="E267" s="121"/>
      <c r="F267" s="121"/>
      <c r="G267" s="121"/>
      <c r="H267" s="121"/>
      <c r="I267" s="121"/>
      <c r="J267" s="121"/>
    </row>
    <row r="268" spans="1:10" s="20" customFormat="1" hidden="1">
      <c r="A268" s="98" t="s">
        <v>38</v>
      </c>
      <c r="B268" s="15" t="s">
        <v>71</v>
      </c>
      <c r="C268" s="16"/>
      <c r="D268" s="96" t="s">
        <v>161</v>
      </c>
      <c r="E268" s="777"/>
      <c r="F268" s="777"/>
      <c r="G268" s="4"/>
      <c r="H268" s="4"/>
    </row>
    <row r="269" spans="1:10" s="20" customFormat="1" hidden="1">
      <c r="A269" s="5"/>
      <c r="B269" s="15" t="s">
        <v>157</v>
      </c>
      <c r="C269" s="16"/>
      <c r="D269" s="16"/>
      <c r="E269" s="16"/>
      <c r="F269" s="16">
        <f>F265</f>
        <v>226.57201807692311</v>
      </c>
      <c r="G269" s="4"/>
      <c r="H269" s="4"/>
    </row>
    <row r="270" spans="1:10" s="20" customFormat="1" hidden="1">
      <c r="A270" s="5"/>
      <c r="B270" s="15" t="s">
        <v>277</v>
      </c>
      <c r="C270" s="96"/>
      <c r="D270" s="96" t="s">
        <v>116</v>
      </c>
      <c r="E270" s="96">
        <f>F265</f>
        <v>226.57201807692311</v>
      </c>
      <c r="F270" s="96">
        <f>E270*0.2</f>
        <v>45.314403615384627</v>
      </c>
      <c r="G270" s="4"/>
      <c r="H270" s="4"/>
    </row>
    <row r="271" spans="1:10" s="20" customFormat="1" hidden="1">
      <c r="A271" s="5"/>
      <c r="B271" s="15" t="s">
        <v>117</v>
      </c>
      <c r="C271" s="96"/>
      <c r="D271" s="96"/>
      <c r="E271" s="96"/>
      <c r="F271" s="96">
        <f>SUM(F269:F270)</f>
        <v>271.88642169230775</v>
      </c>
      <c r="G271" s="4"/>
      <c r="H271" s="4"/>
    </row>
    <row r="272" spans="1:10" s="20" customFormat="1" hidden="1">
      <c r="A272" s="5"/>
      <c r="B272" s="45"/>
      <c r="C272" s="777"/>
      <c r="D272" s="777"/>
      <c r="E272" s="777" t="s">
        <v>120</v>
      </c>
      <c r="F272" s="777">
        <f>ROUND(F271,1)</f>
        <v>271.89999999999998</v>
      </c>
      <c r="G272" s="4"/>
      <c r="H272" s="4"/>
    </row>
    <row r="273" spans="1:10" s="20" customFormat="1" hidden="1">
      <c r="A273" s="5" t="s">
        <v>39</v>
      </c>
      <c r="B273" s="64" t="s">
        <v>267</v>
      </c>
      <c r="C273" s="777"/>
      <c r="D273" s="96" t="s">
        <v>161</v>
      </c>
      <c r="E273" s="777"/>
      <c r="F273" s="777"/>
      <c r="G273" s="4"/>
      <c r="H273" s="4"/>
    </row>
    <row r="274" spans="1:10" s="20" customFormat="1" hidden="1">
      <c r="A274" s="5"/>
      <c r="B274" s="15" t="s">
        <v>278</v>
      </c>
      <c r="C274" s="16"/>
      <c r="D274" s="16"/>
      <c r="E274" s="16"/>
      <c r="F274" s="16">
        <f>F271</f>
        <v>271.88642169230775</v>
      </c>
      <c r="G274" s="4"/>
      <c r="H274" s="4"/>
    </row>
    <row r="275" spans="1:10" s="20" customFormat="1" hidden="1">
      <c r="A275" s="5"/>
      <c r="B275" s="15" t="s">
        <v>279</v>
      </c>
      <c r="C275" s="96"/>
      <c r="D275" s="96" t="s">
        <v>116</v>
      </c>
      <c r="E275" s="96">
        <f>F271</f>
        <v>271.88642169230775</v>
      </c>
      <c r="F275" s="96">
        <f>E275*0.2</f>
        <v>54.37728433846155</v>
      </c>
      <c r="G275" s="4"/>
      <c r="H275" s="4"/>
    </row>
    <row r="276" spans="1:10" s="20" customFormat="1" hidden="1">
      <c r="A276" s="5"/>
      <c r="B276" s="15" t="s">
        <v>117</v>
      </c>
      <c r="C276" s="96"/>
      <c r="D276" s="96"/>
      <c r="E276" s="96"/>
      <c r="F276" s="96">
        <f>SUM(F274:F275)</f>
        <v>326.2637060307693</v>
      </c>
      <c r="G276" s="4"/>
      <c r="H276" s="4"/>
    </row>
    <row r="277" spans="1:10" s="20" customFormat="1" hidden="1">
      <c r="A277" s="5"/>
      <c r="B277" s="45"/>
      <c r="C277" s="777"/>
      <c r="D277" s="777"/>
      <c r="E277" s="777" t="s">
        <v>120</v>
      </c>
      <c r="F277" s="777">
        <f>ROUND(F276,1)</f>
        <v>326.3</v>
      </c>
      <c r="G277" s="4"/>
      <c r="H277" s="4"/>
    </row>
    <row r="278" spans="1:10" s="149" customFormat="1" hidden="1">
      <c r="C278" s="121"/>
      <c r="D278" s="121"/>
      <c r="E278" s="121"/>
      <c r="F278" s="121"/>
      <c r="G278" s="121"/>
      <c r="H278" s="121"/>
      <c r="I278" s="121"/>
      <c r="J278" s="121"/>
    </row>
    <row r="279" spans="1:10" s="149" customFormat="1" hidden="1">
      <c r="C279" s="121"/>
      <c r="D279" s="121"/>
      <c r="E279" s="121"/>
      <c r="F279" s="121"/>
      <c r="G279" s="121"/>
      <c r="H279" s="121"/>
      <c r="I279" s="121"/>
      <c r="J279" s="121"/>
    </row>
    <row r="280" spans="1:10" s="149" customFormat="1" ht="30" hidden="1" customHeight="1">
      <c r="A280" s="133" t="s">
        <v>470</v>
      </c>
      <c r="B280" s="380" t="s">
        <v>1042</v>
      </c>
      <c r="C280" s="96" t="s">
        <v>161</v>
      </c>
      <c r="D280" s="96"/>
      <c r="E280" s="96"/>
      <c r="F280" s="16"/>
      <c r="G280" s="121"/>
      <c r="H280" s="121"/>
      <c r="I280" s="121"/>
      <c r="J280" s="121"/>
    </row>
    <row r="281" spans="1:10" s="149" customFormat="1" hidden="1">
      <c r="B281" s="15" t="s">
        <v>284</v>
      </c>
      <c r="C281" s="16"/>
      <c r="D281" s="16"/>
      <c r="E281" s="16"/>
      <c r="F281" s="16"/>
      <c r="G281" s="121"/>
      <c r="H281" s="121"/>
      <c r="I281" s="121"/>
      <c r="J281" s="121"/>
    </row>
    <row r="282" spans="1:10" s="149" customFormat="1" hidden="1">
      <c r="B282" s="15" t="s">
        <v>70</v>
      </c>
      <c r="C282" s="16"/>
      <c r="D282" s="16"/>
      <c r="E282" s="16"/>
      <c r="F282" s="16"/>
      <c r="G282" s="121"/>
      <c r="H282" s="121"/>
      <c r="I282" s="121"/>
      <c r="J282" s="121"/>
    </row>
    <row r="283" spans="1:10" s="149" customFormat="1" hidden="1">
      <c r="B283" s="99" t="s">
        <v>131</v>
      </c>
      <c r="C283" s="16"/>
      <c r="D283" s="16"/>
      <c r="E283" s="16"/>
      <c r="F283" s="16"/>
      <c r="G283" s="121"/>
      <c r="H283" s="121"/>
      <c r="I283" s="121"/>
      <c r="J283" s="121"/>
    </row>
    <row r="284" spans="1:10" s="149" customFormat="1" hidden="1">
      <c r="B284" s="15" t="s">
        <v>285</v>
      </c>
      <c r="C284" s="96">
        <v>0.218</v>
      </c>
      <c r="D284" s="96" t="s">
        <v>123</v>
      </c>
      <c r="E284" s="96">
        <v>18823</v>
      </c>
      <c r="F284" s="96">
        <f>E284*C284</f>
        <v>4103.4139999999998</v>
      </c>
      <c r="G284" s="121"/>
      <c r="H284" s="121"/>
      <c r="I284" s="121"/>
      <c r="J284" s="121"/>
    </row>
    <row r="285" spans="1:10" s="149" customFormat="1" hidden="1">
      <c r="B285" s="15" t="s">
        <v>286</v>
      </c>
      <c r="C285" s="96">
        <v>15.2</v>
      </c>
      <c r="D285" s="96" t="s">
        <v>41</v>
      </c>
      <c r="E285" s="96">
        <v>100</v>
      </c>
      <c r="F285" s="96">
        <f>E285*C285</f>
        <v>1520</v>
      </c>
      <c r="G285" s="121"/>
      <c r="H285" s="121"/>
      <c r="I285" s="121"/>
      <c r="J285" s="121"/>
    </row>
    <row r="286" spans="1:10" s="149" customFormat="1" hidden="1">
      <c r="B286" s="15" t="s">
        <v>287</v>
      </c>
      <c r="C286" s="96">
        <v>8</v>
      </c>
      <c r="D286" s="96" t="s">
        <v>41</v>
      </c>
      <c r="E286" s="96">
        <v>100</v>
      </c>
      <c r="F286" s="96">
        <f>E286*C286</f>
        <v>800</v>
      </c>
      <c r="G286" s="121"/>
      <c r="H286" s="121"/>
      <c r="I286" s="121"/>
      <c r="J286" s="121"/>
    </row>
    <row r="287" spans="1:10" s="149" customFormat="1" hidden="1">
      <c r="B287" s="15" t="s">
        <v>42</v>
      </c>
      <c r="C287" s="96">
        <v>0.45600000000000002</v>
      </c>
      <c r="D287" s="96" t="s">
        <v>43</v>
      </c>
      <c r="E287" s="96">
        <f>'[1]Revised Analysis'!E147</f>
        <v>169</v>
      </c>
      <c r="F287" s="96">
        <f>E287/1.25*C287</f>
        <v>61.651199999999996</v>
      </c>
      <c r="G287" s="121"/>
      <c r="H287" s="121"/>
      <c r="I287" s="121"/>
      <c r="J287" s="121"/>
    </row>
    <row r="288" spans="1:10" s="149" customFormat="1" hidden="1">
      <c r="B288" s="15" t="s">
        <v>117</v>
      </c>
      <c r="C288" s="16"/>
      <c r="D288" s="16"/>
      <c r="E288" s="16"/>
      <c r="F288" s="96">
        <f>SUM(F284:F287)</f>
        <v>6485.0652</v>
      </c>
      <c r="G288" s="121"/>
      <c r="H288" s="121"/>
      <c r="I288" s="121"/>
      <c r="J288" s="121"/>
    </row>
    <row r="289" spans="1:10" s="149" customFormat="1" hidden="1">
      <c r="B289" s="15" t="s">
        <v>175</v>
      </c>
      <c r="C289" s="16"/>
      <c r="D289" s="16"/>
      <c r="E289" s="16"/>
      <c r="F289" s="96">
        <f>F288/10</f>
        <v>648.50652000000002</v>
      </c>
      <c r="G289" s="121"/>
      <c r="H289" s="121"/>
      <c r="I289" s="121"/>
      <c r="J289" s="121"/>
    </row>
    <row r="290" spans="1:10" s="149" customFormat="1" hidden="1">
      <c r="B290" s="99" t="s">
        <v>137</v>
      </c>
      <c r="C290" s="16"/>
      <c r="D290" s="16"/>
      <c r="E290" s="16"/>
      <c r="F290" s="16"/>
      <c r="G290" s="121"/>
      <c r="H290" s="121"/>
      <c r="I290" s="121"/>
      <c r="J290" s="121"/>
    </row>
    <row r="291" spans="1:10" s="149" customFormat="1" hidden="1">
      <c r="B291" s="15" t="s">
        <v>44</v>
      </c>
      <c r="C291" s="96" t="s">
        <v>45</v>
      </c>
      <c r="D291" s="96" t="s">
        <v>114</v>
      </c>
      <c r="E291" s="96">
        <f>Lead!E60</f>
        <v>240</v>
      </c>
      <c r="F291" s="96">
        <f>E291*C291</f>
        <v>660</v>
      </c>
      <c r="G291" s="121"/>
      <c r="H291" s="121"/>
      <c r="I291" s="121"/>
      <c r="J291" s="121"/>
    </row>
    <row r="292" spans="1:10" s="149" customFormat="1" hidden="1">
      <c r="B292" s="15" t="s">
        <v>154</v>
      </c>
      <c r="C292" s="96" t="s">
        <v>45</v>
      </c>
      <c r="D292" s="96" t="s">
        <v>114</v>
      </c>
      <c r="E292" s="96">
        <f>Lead!E54</f>
        <v>220</v>
      </c>
      <c r="F292" s="96">
        <f>E292*C292</f>
        <v>605</v>
      </c>
      <c r="G292" s="121"/>
      <c r="H292" s="121"/>
      <c r="I292" s="121"/>
      <c r="J292" s="121"/>
    </row>
    <row r="293" spans="1:10" s="149" customFormat="1" hidden="1">
      <c r="B293" s="3" t="s">
        <v>322</v>
      </c>
      <c r="C293" s="16"/>
      <c r="D293" s="96" t="s">
        <v>116</v>
      </c>
      <c r="E293" s="96">
        <f>SUM(F289:F292)</f>
        <v>1913.5065199999999</v>
      </c>
      <c r="F293" s="96">
        <f>E293*0.075</f>
        <v>143.51298899999998</v>
      </c>
      <c r="G293" s="121"/>
      <c r="H293" s="121"/>
      <c r="I293" s="121"/>
      <c r="J293" s="121"/>
    </row>
    <row r="294" spans="1:10" s="149" customFormat="1" hidden="1">
      <c r="B294" s="63" t="s">
        <v>323</v>
      </c>
      <c r="C294" s="16"/>
      <c r="D294" s="96" t="s">
        <v>116</v>
      </c>
      <c r="E294" s="96">
        <f>SUM(F289:F292)</f>
        <v>1913.5065199999999</v>
      </c>
      <c r="F294" s="96">
        <f>E294*0.075</f>
        <v>143.51298899999998</v>
      </c>
      <c r="G294" s="121"/>
      <c r="H294" s="121"/>
      <c r="I294" s="121"/>
      <c r="J294" s="121"/>
    </row>
    <row r="295" spans="1:10" s="149" customFormat="1" hidden="1">
      <c r="B295" s="15" t="s">
        <v>117</v>
      </c>
      <c r="C295" s="16"/>
      <c r="D295" s="16"/>
      <c r="E295" s="16"/>
      <c r="F295" s="96">
        <f>SUM(F289:F294)</f>
        <v>2200.5324979999996</v>
      </c>
      <c r="G295" s="121"/>
      <c r="H295" s="121"/>
      <c r="I295" s="121"/>
      <c r="J295" s="121"/>
    </row>
    <row r="296" spans="1:10" s="149" customFormat="1" hidden="1">
      <c r="B296" s="15" t="s">
        <v>288</v>
      </c>
      <c r="C296" s="16"/>
      <c r="D296" s="16"/>
      <c r="E296" s="16"/>
      <c r="F296" s="96">
        <f>F295/4.2</f>
        <v>523.93630904761892</v>
      </c>
      <c r="G296" s="121"/>
      <c r="H296" s="121"/>
      <c r="I296" s="121"/>
      <c r="J296" s="121"/>
    </row>
    <row r="297" spans="1:10" s="149" customFormat="1" hidden="1">
      <c r="B297" s="15" t="s">
        <v>429</v>
      </c>
      <c r="C297" s="16"/>
      <c r="D297" s="16"/>
      <c r="E297" s="16"/>
      <c r="F297" s="96">
        <f>F296*1%</f>
        <v>5.2393630904761892</v>
      </c>
      <c r="G297" s="121"/>
      <c r="H297" s="121"/>
      <c r="I297" s="121"/>
      <c r="J297" s="121"/>
    </row>
    <row r="298" spans="1:10" s="149" customFormat="1" hidden="1">
      <c r="B298" s="15"/>
      <c r="C298" s="16"/>
      <c r="D298" s="16"/>
      <c r="E298" s="16"/>
      <c r="F298" s="778">
        <f>SUM(F296:F297)</f>
        <v>529.17567213809514</v>
      </c>
      <c r="G298" s="121"/>
      <c r="H298" s="121"/>
      <c r="I298" s="121"/>
      <c r="J298" s="121"/>
    </row>
    <row r="299" spans="1:10" s="149" customFormat="1" hidden="1">
      <c r="B299" s="45"/>
      <c r="C299" s="777"/>
      <c r="D299" s="777"/>
      <c r="E299" s="777" t="s">
        <v>120</v>
      </c>
      <c r="F299" s="777">
        <f>ROUND(F298,1)</f>
        <v>529.20000000000005</v>
      </c>
      <c r="G299" s="121"/>
      <c r="H299" s="121"/>
      <c r="I299" s="121"/>
      <c r="J299" s="121"/>
    </row>
    <row r="300" spans="1:10" s="149" customFormat="1" hidden="1">
      <c r="C300" s="121"/>
      <c r="D300" s="121"/>
      <c r="E300" s="121"/>
      <c r="F300" s="121"/>
      <c r="G300" s="121"/>
      <c r="H300" s="121"/>
      <c r="I300" s="121"/>
      <c r="J300" s="121"/>
    </row>
    <row r="301" spans="1:10" s="20" customFormat="1" hidden="1">
      <c r="A301" s="98" t="s">
        <v>38</v>
      </c>
      <c r="B301" s="15" t="s">
        <v>71</v>
      </c>
      <c r="C301" s="16"/>
      <c r="D301" s="96" t="s">
        <v>161</v>
      </c>
      <c r="E301" s="777"/>
      <c r="F301" s="777"/>
      <c r="G301" s="4"/>
      <c r="H301" s="4"/>
    </row>
    <row r="302" spans="1:10" s="20" customFormat="1" hidden="1">
      <c r="A302" s="5"/>
      <c r="B302" s="15" t="s">
        <v>157</v>
      </c>
      <c r="C302" s="16"/>
      <c r="D302" s="16"/>
      <c r="E302" s="16"/>
      <c r="F302" s="16">
        <f>F298</f>
        <v>529.17567213809514</v>
      </c>
      <c r="G302" s="4"/>
      <c r="H302" s="4"/>
    </row>
    <row r="303" spans="1:10" s="20" customFormat="1" hidden="1">
      <c r="A303" s="5"/>
      <c r="B303" s="15" t="s">
        <v>277</v>
      </c>
      <c r="C303" s="96"/>
      <c r="D303" s="96" t="s">
        <v>116</v>
      </c>
      <c r="E303" s="96">
        <f>F298</f>
        <v>529.17567213809514</v>
      </c>
      <c r="F303" s="96">
        <f>E303*0.2</f>
        <v>105.83513442761904</v>
      </c>
      <c r="G303" s="4"/>
      <c r="H303" s="4"/>
    </row>
    <row r="304" spans="1:10" s="20" customFormat="1" hidden="1">
      <c r="A304" s="5"/>
      <c r="B304" s="15" t="s">
        <v>117</v>
      </c>
      <c r="C304" s="96"/>
      <c r="D304" s="96"/>
      <c r="E304" s="96"/>
      <c r="F304" s="96">
        <f>SUM(F302:F303)</f>
        <v>635.01080656571412</v>
      </c>
      <c r="G304" s="4"/>
      <c r="H304" s="4"/>
    </row>
    <row r="305" spans="1:10" s="20" customFormat="1" hidden="1">
      <c r="A305" s="5"/>
      <c r="B305" s="45"/>
      <c r="C305" s="777"/>
      <c r="D305" s="777"/>
      <c r="E305" s="777" t="s">
        <v>120</v>
      </c>
      <c r="F305" s="777">
        <f>ROUND(F304,1)</f>
        <v>635</v>
      </c>
      <c r="G305" s="4"/>
      <c r="H305" s="4"/>
    </row>
    <row r="306" spans="1:10" s="20" customFormat="1" hidden="1">
      <c r="A306" s="5" t="s">
        <v>39</v>
      </c>
      <c r="B306" s="64" t="s">
        <v>267</v>
      </c>
      <c r="C306" s="777"/>
      <c r="D306" s="96" t="s">
        <v>161</v>
      </c>
      <c r="E306" s="777"/>
      <c r="F306" s="777"/>
      <c r="G306" s="4"/>
      <c r="H306" s="4"/>
    </row>
    <row r="307" spans="1:10" s="20" customFormat="1" hidden="1">
      <c r="A307" s="5"/>
      <c r="B307" s="15" t="s">
        <v>278</v>
      </c>
      <c r="C307" s="16"/>
      <c r="D307" s="16"/>
      <c r="E307" s="16"/>
      <c r="F307" s="16">
        <f>F304</f>
        <v>635.01080656571412</v>
      </c>
      <c r="G307" s="4"/>
      <c r="H307" s="4"/>
    </row>
    <row r="308" spans="1:10" s="20" customFormat="1" hidden="1">
      <c r="A308" s="5"/>
      <c r="B308" s="15" t="s">
        <v>279</v>
      </c>
      <c r="C308" s="96"/>
      <c r="D308" s="96" t="s">
        <v>116</v>
      </c>
      <c r="E308" s="96">
        <f>F304</f>
        <v>635.01080656571412</v>
      </c>
      <c r="F308" s="96">
        <f>E308*0.2</f>
        <v>127.00216131314284</v>
      </c>
      <c r="G308" s="4"/>
      <c r="H308" s="4"/>
    </row>
    <row r="309" spans="1:10" s="20" customFormat="1" hidden="1">
      <c r="A309" s="5"/>
      <c r="B309" s="15" t="s">
        <v>117</v>
      </c>
      <c r="C309" s="96"/>
      <c r="D309" s="96"/>
      <c r="E309" s="96"/>
      <c r="F309" s="96">
        <f>SUM(F307:F308)</f>
        <v>762.0129678788569</v>
      </c>
      <c r="G309" s="4"/>
      <c r="H309" s="4"/>
    </row>
    <row r="310" spans="1:10" s="20" customFormat="1" hidden="1">
      <c r="A310" s="5"/>
      <c r="B310" s="45"/>
      <c r="C310" s="777"/>
      <c r="D310" s="777"/>
      <c r="E310" s="777" t="s">
        <v>120</v>
      </c>
      <c r="F310" s="777">
        <f>ROUND(F309,1)</f>
        <v>762</v>
      </c>
      <c r="G310" s="4"/>
      <c r="H310" s="4"/>
    </row>
    <row r="311" spans="1:10" s="149" customFormat="1" hidden="1">
      <c r="C311" s="121"/>
      <c r="D311" s="121"/>
      <c r="E311" s="121"/>
      <c r="F311" s="121"/>
      <c r="G311" s="121"/>
      <c r="H311" s="121"/>
      <c r="I311" s="121"/>
      <c r="J311" s="121"/>
    </row>
    <row r="312" spans="1:10" s="149" customFormat="1" ht="25.5" hidden="1">
      <c r="A312" s="133" t="s">
        <v>1044</v>
      </c>
      <c r="B312" s="380" t="s">
        <v>1043</v>
      </c>
      <c r="C312" s="96" t="s">
        <v>161</v>
      </c>
      <c r="D312" s="96"/>
      <c r="E312" s="96"/>
      <c r="F312" s="16"/>
      <c r="G312" s="121"/>
      <c r="H312" s="121"/>
      <c r="I312" s="121"/>
      <c r="J312" s="121"/>
    </row>
    <row r="313" spans="1:10" s="149" customFormat="1" hidden="1">
      <c r="B313" s="15" t="s">
        <v>291</v>
      </c>
      <c r="C313" s="777"/>
      <c r="D313" s="777"/>
      <c r="E313" s="777"/>
      <c r="F313" s="777"/>
      <c r="G313" s="121"/>
      <c r="H313" s="121"/>
      <c r="I313" s="121"/>
      <c r="J313" s="121"/>
    </row>
    <row r="314" spans="1:10" s="149" customFormat="1" hidden="1">
      <c r="B314" s="15" t="s">
        <v>70</v>
      </c>
      <c r="C314" s="777"/>
      <c r="D314" s="777"/>
      <c r="E314" s="777"/>
      <c r="F314" s="777"/>
      <c r="G314" s="121"/>
      <c r="H314" s="121"/>
      <c r="I314" s="121"/>
      <c r="J314" s="121"/>
    </row>
    <row r="315" spans="1:10" s="149" customFormat="1" hidden="1">
      <c r="B315" s="99" t="s">
        <v>131</v>
      </c>
      <c r="C315" s="777"/>
      <c r="D315" s="777"/>
      <c r="E315" s="777"/>
      <c r="F315" s="777"/>
      <c r="G315" s="121"/>
      <c r="H315" s="121"/>
      <c r="I315" s="121"/>
      <c r="J315" s="121"/>
    </row>
    <row r="316" spans="1:10" s="149" customFormat="1" hidden="1">
      <c r="B316" s="15" t="s">
        <v>84</v>
      </c>
      <c r="C316" s="96">
        <v>0.95399999999999996</v>
      </c>
      <c r="D316" s="96" t="s">
        <v>123</v>
      </c>
      <c r="E316" s="96">
        <v>18823</v>
      </c>
      <c r="F316" s="96">
        <f>E316*C316</f>
        <v>17957.142</v>
      </c>
      <c r="G316" s="121"/>
      <c r="H316" s="121"/>
      <c r="I316" s="121"/>
      <c r="J316" s="121"/>
    </row>
    <row r="317" spans="1:10" s="149" customFormat="1" hidden="1">
      <c r="B317" s="15" t="s">
        <v>40</v>
      </c>
      <c r="C317" s="96">
        <v>0.26900000000000002</v>
      </c>
      <c r="D317" s="96" t="s">
        <v>130</v>
      </c>
      <c r="E317" s="96">
        <f>E316</f>
        <v>18823</v>
      </c>
      <c r="F317" s="96">
        <f>E317*C317</f>
        <v>5063.3870000000006</v>
      </c>
      <c r="G317" s="121"/>
      <c r="H317" s="121"/>
      <c r="I317" s="121"/>
      <c r="J317" s="121"/>
    </row>
    <row r="318" spans="1:10" s="149" customFormat="1" hidden="1">
      <c r="B318" s="15" t="s">
        <v>85</v>
      </c>
      <c r="C318" s="96">
        <v>100.8</v>
      </c>
      <c r="D318" s="96" t="s">
        <v>86</v>
      </c>
      <c r="E318" s="96">
        <v>75</v>
      </c>
      <c r="F318" s="96">
        <f>E318*C318</f>
        <v>7560</v>
      </c>
      <c r="G318" s="121"/>
      <c r="H318" s="121"/>
      <c r="I318" s="121"/>
      <c r="J318" s="121"/>
    </row>
    <row r="319" spans="1:10" s="149" customFormat="1" hidden="1">
      <c r="B319" s="15" t="s">
        <v>42</v>
      </c>
      <c r="C319" s="96">
        <v>2.4609999999999999</v>
      </c>
      <c r="D319" s="96" t="s">
        <v>43</v>
      </c>
      <c r="E319" s="96">
        <f>[1]ANALYSIS!E347</f>
        <v>169</v>
      </c>
      <c r="F319" s="96">
        <f>E319/1.25*C319</f>
        <v>332.72719999999993</v>
      </c>
      <c r="G319" s="121"/>
      <c r="H319" s="121"/>
      <c r="I319" s="121"/>
      <c r="J319" s="121"/>
    </row>
    <row r="320" spans="1:10" s="149" customFormat="1" hidden="1">
      <c r="B320" s="15" t="s">
        <v>117</v>
      </c>
      <c r="C320" s="16"/>
      <c r="D320" s="16"/>
      <c r="E320" s="16"/>
      <c r="F320" s="96">
        <f>SUM(F316:F319)</f>
        <v>30913.256200000003</v>
      </c>
      <c r="G320" s="121"/>
      <c r="H320" s="121"/>
      <c r="I320" s="121"/>
      <c r="J320" s="121"/>
    </row>
    <row r="321" spans="1:10" s="149" customFormat="1" hidden="1">
      <c r="B321" s="15" t="s">
        <v>175</v>
      </c>
      <c r="C321" s="16"/>
      <c r="D321" s="16"/>
      <c r="E321" s="16"/>
      <c r="F321" s="96">
        <f>F320/10</f>
        <v>3091.3256200000005</v>
      </c>
      <c r="G321" s="121"/>
      <c r="H321" s="121"/>
      <c r="I321" s="121"/>
      <c r="J321" s="121"/>
    </row>
    <row r="322" spans="1:10" s="149" customFormat="1" hidden="1">
      <c r="B322" s="365" t="s">
        <v>137</v>
      </c>
      <c r="C322" s="777"/>
      <c r="D322" s="777"/>
      <c r="E322" s="777"/>
      <c r="F322" s="777"/>
      <c r="G322" s="121"/>
      <c r="H322" s="121"/>
      <c r="I322" s="121"/>
      <c r="J322" s="121"/>
    </row>
    <row r="323" spans="1:10" s="149" customFormat="1" hidden="1">
      <c r="B323" s="61" t="s">
        <v>44</v>
      </c>
      <c r="C323" s="96">
        <v>13.5</v>
      </c>
      <c r="D323" s="96" t="s">
        <v>114</v>
      </c>
      <c r="E323" s="96">
        <f>Lead!E60</f>
        <v>240</v>
      </c>
      <c r="F323" s="96">
        <f>E323*C323</f>
        <v>3240</v>
      </c>
      <c r="G323" s="121"/>
      <c r="H323" s="121"/>
      <c r="I323" s="121"/>
      <c r="J323" s="121"/>
    </row>
    <row r="324" spans="1:10" s="149" customFormat="1" hidden="1">
      <c r="B324" s="61" t="s">
        <v>154</v>
      </c>
      <c r="C324" s="96">
        <v>13.5</v>
      </c>
      <c r="D324" s="96" t="s">
        <v>114</v>
      </c>
      <c r="E324" s="96">
        <f>Lead!E54</f>
        <v>220</v>
      </c>
      <c r="F324" s="96">
        <f>E324*C324</f>
        <v>2970</v>
      </c>
      <c r="G324" s="121"/>
      <c r="H324" s="121"/>
      <c r="I324" s="121"/>
      <c r="J324" s="121"/>
    </row>
    <row r="325" spans="1:10" s="149" customFormat="1" hidden="1">
      <c r="B325" s="3" t="s">
        <v>322</v>
      </c>
      <c r="C325" s="16"/>
      <c r="D325" s="96" t="s">
        <v>116</v>
      </c>
      <c r="E325" s="96">
        <f>SUM(F321:F324)</f>
        <v>9301.3256199999996</v>
      </c>
      <c r="F325" s="96">
        <f>E325*0.075</f>
        <v>697.59942149999995</v>
      </c>
      <c r="G325" s="121"/>
      <c r="H325" s="121"/>
      <c r="I325" s="121"/>
      <c r="J325" s="121"/>
    </row>
    <row r="326" spans="1:10" s="149" customFormat="1" hidden="1">
      <c r="B326" s="63" t="s">
        <v>323</v>
      </c>
      <c r="C326" s="16"/>
      <c r="D326" s="96" t="s">
        <v>116</v>
      </c>
      <c r="E326" s="96">
        <f>SUM(F321:F324)</f>
        <v>9301.3256199999996</v>
      </c>
      <c r="F326" s="96">
        <f>E326*0.075</f>
        <v>697.59942149999995</v>
      </c>
      <c r="G326" s="121"/>
      <c r="H326" s="121"/>
      <c r="I326" s="121"/>
      <c r="J326" s="121"/>
    </row>
    <row r="327" spans="1:10" s="149" customFormat="1" hidden="1">
      <c r="B327" s="15" t="s">
        <v>117</v>
      </c>
      <c r="C327" s="16"/>
      <c r="D327" s="16"/>
      <c r="E327" s="16"/>
      <c r="F327" s="96">
        <f>SUM(F321:F326)</f>
        <v>10696.524462999998</v>
      </c>
      <c r="G327" s="121"/>
      <c r="H327" s="121"/>
      <c r="I327" s="121"/>
      <c r="J327" s="121"/>
    </row>
    <row r="328" spans="1:10" s="149" customFormat="1" hidden="1">
      <c r="B328" s="62" t="s">
        <v>60</v>
      </c>
      <c r="C328" s="16"/>
      <c r="D328" s="16"/>
      <c r="E328" s="16"/>
      <c r="F328" s="96">
        <f>F327/23.9</f>
        <v>447.55332481171541</v>
      </c>
      <c r="G328" s="121"/>
      <c r="H328" s="121"/>
      <c r="I328" s="121"/>
      <c r="J328" s="121"/>
    </row>
    <row r="329" spans="1:10" s="149" customFormat="1" hidden="1">
      <c r="B329" s="15" t="s">
        <v>429</v>
      </c>
      <c r="C329" s="16"/>
      <c r="D329" s="16"/>
      <c r="E329" s="16"/>
      <c r="F329" s="96">
        <f>F328*1%</f>
        <v>4.4755332481171539</v>
      </c>
      <c r="G329" s="121"/>
      <c r="H329" s="121"/>
      <c r="I329" s="121"/>
      <c r="J329" s="121"/>
    </row>
    <row r="330" spans="1:10" s="149" customFormat="1" hidden="1">
      <c r="B330" s="15"/>
      <c r="C330" s="16"/>
      <c r="D330" s="16"/>
      <c r="E330" s="16"/>
      <c r="F330" s="778">
        <f>SUM(F328:F329)</f>
        <v>452.02885805983254</v>
      </c>
      <c r="G330" s="121"/>
      <c r="H330" s="121"/>
      <c r="I330" s="121"/>
      <c r="J330" s="121"/>
    </row>
    <row r="331" spans="1:10" s="149" customFormat="1" hidden="1">
      <c r="B331" s="45"/>
      <c r="C331" s="777"/>
      <c r="D331" s="777"/>
      <c r="E331" s="777" t="s">
        <v>120</v>
      </c>
      <c r="F331" s="777">
        <f>ROUND(F330,1)</f>
        <v>452</v>
      </c>
      <c r="G331" s="121"/>
      <c r="H331" s="121"/>
      <c r="I331" s="121"/>
      <c r="J331" s="121"/>
    </row>
    <row r="332" spans="1:10" s="20" customFormat="1" hidden="1">
      <c r="A332" s="98" t="s">
        <v>38</v>
      </c>
      <c r="B332" s="15" t="s">
        <v>71</v>
      </c>
      <c r="C332" s="16"/>
      <c r="D332" s="96" t="s">
        <v>161</v>
      </c>
      <c r="E332" s="777"/>
      <c r="F332" s="777"/>
      <c r="G332" s="4"/>
      <c r="H332" s="4"/>
    </row>
    <row r="333" spans="1:10" s="20" customFormat="1" hidden="1">
      <c r="A333" s="5"/>
      <c r="B333" s="15" t="s">
        <v>157</v>
      </c>
      <c r="C333" s="16"/>
      <c r="D333" s="16"/>
      <c r="E333" s="16"/>
      <c r="F333" s="16">
        <f>F330</f>
        <v>452.02885805983254</v>
      </c>
      <c r="G333" s="4"/>
      <c r="H333" s="4"/>
    </row>
    <row r="334" spans="1:10" s="20" customFormat="1" hidden="1">
      <c r="A334" s="5"/>
      <c r="B334" s="15" t="s">
        <v>277</v>
      </c>
      <c r="C334" s="96"/>
      <c r="D334" s="96" t="s">
        <v>116</v>
      </c>
      <c r="E334" s="96">
        <f>F330</f>
        <v>452.02885805983254</v>
      </c>
      <c r="F334" s="96">
        <f>E334*0.2</f>
        <v>90.405771611966514</v>
      </c>
      <c r="G334" s="4"/>
      <c r="H334" s="4"/>
    </row>
    <row r="335" spans="1:10" s="20" customFormat="1" hidden="1">
      <c r="A335" s="5"/>
      <c r="B335" s="15" t="s">
        <v>117</v>
      </c>
      <c r="C335" s="96"/>
      <c r="D335" s="96"/>
      <c r="E335" s="96"/>
      <c r="F335" s="96">
        <f>SUM(F333:F334)</f>
        <v>542.43462967179903</v>
      </c>
      <c r="G335" s="4"/>
      <c r="H335" s="4"/>
    </row>
    <row r="336" spans="1:10" s="20" customFormat="1" hidden="1">
      <c r="A336" s="5"/>
      <c r="B336" s="45"/>
      <c r="C336" s="777"/>
      <c r="D336" s="777"/>
      <c r="E336" s="777" t="s">
        <v>120</v>
      </c>
      <c r="F336" s="777">
        <f>ROUND(F335,1)</f>
        <v>542.4</v>
      </c>
      <c r="G336" s="4"/>
      <c r="H336" s="4"/>
    </row>
    <row r="337" spans="1:10" s="20" customFormat="1" hidden="1">
      <c r="A337" s="5" t="s">
        <v>39</v>
      </c>
      <c r="B337" s="64" t="s">
        <v>267</v>
      </c>
      <c r="C337" s="777"/>
      <c r="D337" s="96" t="s">
        <v>161</v>
      </c>
      <c r="E337" s="777"/>
      <c r="F337" s="777"/>
      <c r="G337" s="4"/>
      <c r="H337" s="4"/>
    </row>
    <row r="338" spans="1:10" s="20" customFormat="1" hidden="1">
      <c r="A338" s="5"/>
      <c r="B338" s="15" t="s">
        <v>278</v>
      </c>
      <c r="C338" s="16"/>
      <c r="D338" s="16"/>
      <c r="E338" s="16"/>
      <c r="F338" s="16">
        <f>F335</f>
        <v>542.43462967179903</v>
      </c>
      <c r="G338" s="4"/>
      <c r="H338" s="4"/>
    </row>
    <row r="339" spans="1:10" s="20" customFormat="1" hidden="1">
      <c r="A339" s="5"/>
      <c r="B339" s="15" t="s">
        <v>279</v>
      </c>
      <c r="C339" s="96"/>
      <c r="D339" s="96" t="s">
        <v>116</v>
      </c>
      <c r="E339" s="96">
        <f>F335</f>
        <v>542.43462967179903</v>
      </c>
      <c r="F339" s="96">
        <f>E339*0.2</f>
        <v>108.48692593435982</v>
      </c>
      <c r="G339" s="4"/>
      <c r="H339" s="4"/>
    </row>
    <row r="340" spans="1:10" s="20" customFormat="1" hidden="1">
      <c r="A340" s="5"/>
      <c r="B340" s="15" t="s">
        <v>117</v>
      </c>
      <c r="C340" s="96"/>
      <c r="D340" s="96"/>
      <c r="E340" s="96"/>
      <c r="F340" s="96">
        <f>SUM(F338:F339)</f>
        <v>650.92155560615879</v>
      </c>
      <c r="G340" s="4"/>
      <c r="H340" s="4"/>
    </row>
    <row r="341" spans="1:10" s="20" customFormat="1" hidden="1">
      <c r="A341" s="5"/>
      <c r="B341" s="45"/>
      <c r="C341" s="777"/>
      <c r="D341" s="777"/>
      <c r="E341" s="777" t="s">
        <v>120</v>
      </c>
      <c r="F341" s="777">
        <f>ROUND(F340,1)</f>
        <v>650.9</v>
      </c>
      <c r="G341" s="4"/>
      <c r="H341" s="4"/>
    </row>
    <row r="342" spans="1:10" s="149" customFormat="1" ht="25.5" hidden="1">
      <c r="A342" s="133">
        <v>11</v>
      </c>
      <c r="B342" s="99" t="s">
        <v>905</v>
      </c>
      <c r="C342" s="4"/>
      <c r="D342" s="138" t="s">
        <v>130</v>
      </c>
      <c r="E342" s="4"/>
      <c r="F342" s="4"/>
      <c r="G342" s="121"/>
      <c r="H342" s="121"/>
      <c r="I342" s="121"/>
      <c r="J342" s="121"/>
    </row>
    <row r="343" spans="1:10" s="149" customFormat="1" hidden="1">
      <c r="B343" s="99" t="s">
        <v>131</v>
      </c>
      <c r="C343" s="4"/>
      <c r="D343" s="4"/>
      <c r="E343" s="4"/>
      <c r="F343" s="4"/>
      <c r="G343" s="121"/>
      <c r="H343" s="121"/>
      <c r="I343" s="121"/>
      <c r="J343" s="121"/>
    </row>
    <row r="344" spans="1:10" s="149" customFormat="1" hidden="1">
      <c r="B344" s="15" t="s">
        <v>141</v>
      </c>
      <c r="C344" s="138" t="s">
        <v>142</v>
      </c>
      <c r="D344" s="138" t="s">
        <v>123</v>
      </c>
      <c r="E344" s="96">
        <f>Lead!E11</f>
        <v>1168</v>
      </c>
      <c r="F344" s="785">
        <f>E344*C344</f>
        <v>1051.2</v>
      </c>
      <c r="G344" s="121"/>
      <c r="H344" s="121"/>
      <c r="I344" s="121"/>
      <c r="J344" s="121"/>
    </row>
    <row r="345" spans="1:10" s="149" customFormat="1" hidden="1">
      <c r="B345" s="15" t="s">
        <v>143</v>
      </c>
      <c r="C345" s="138" t="s">
        <v>126</v>
      </c>
      <c r="D345" s="138" t="s">
        <v>123</v>
      </c>
      <c r="E345" s="96">
        <f>Lead!E20</f>
        <v>55</v>
      </c>
      <c r="F345" s="785">
        <f>E345*C345</f>
        <v>24.75</v>
      </c>
      <c r="G345" s="121"/>
      <c r="H345" s="121"/>
      <c r="I345" s="121"/>
      <c r="J345" s="121"/>
    </row>
    <row r="346" spans="1:10" s="149" customFormat="1" hidden="1">
      <c r="B346" s="15" t="s">
        <v>33</v>
      </c>
      <c r="C346" s="138" t="s">
        <v>144</v>
      </c>
      <c r="D346" s="138" t="s">
        <v>127</v>
      </c>
      <c r="E346" s="96">
        <f>Lead!E29</f>
        <v>650</v>
      </c>
      <c r="F346" s="785">
        <f>E346*C346</f>
        <v>2099.5</v>
      </c>
      <c r="G346" s="121"/>
      <c r="H346" s="121"/>
      <c r="I346" s="121"/>
      <c r="J346" s="121"/>
    </row>
    <row r="347" spans="1:10" s="149" customFormat="1" hidden="1">
      <c r="B347" s="15" t="s">
        <v>137</v>
      </c>
      <c r="C347" s="4"/>
      <c r="D347" s="4"/>
      <c r="E347" s="16"/>
      <c r="F347" s="785"/>
      <c r="G347" s="121"/>
      <c r="H347" s="121"/>
      <c r="I347" s="121"/>
      <c r="J347" s="121"/>
    </row>
    <row r="348" spans="1:10" s="149" customFormat="1" hidden="1">
      <c r="B348" s="15" t="s">
        <v>145</v>
      </c>
      <c r="C348" s="138" t="s">
        <v>146</v>
      </c>
      <c r="D348" s="138" t="s">
        <v>114</v>
      </c>
      <c r="E348" s="96">
        <f>Lead!E58</f>
        <v>240</v>
      </c>
      <c r="F348" s="785">
        <f>E348*C348</f>
        <v>163.20000000000002</v>
      </c>
      <c r="G348" s="121"/>
      <c r="H348" s="121"/>
      <c r="I348" s="121"/>
      <c r="J348" s="121"/>
    </row>
    <row r="349" spans="1:10" s="149" customFormat="1" hidden="1">
      <c r="B349" s="15" t="s">
        <v>113</v>
      </c>
      <c r="C349" s="138" t="s">
        <v>125</v>
      </c>
      <c r="D349" s="138" t="s">
        <v>114</v>
      </c>
      <c r="E349" s="96">
        <f>Lead!E47</f>
        <v>200</v>
      </c>
      <c r="F349" s="785">
        <f>E349*C349</f>
        <v>360</v>
      </c>
      <c r="G349" s="121"/>
      <c r="H349" s="121"/>
      <c r="I349" s="121"/>
      <c r="J349" s="121"/>
    </row>
    <row r="350" spans="1:10" s="149" customFormat="1" hidden="1">
      <c r="B350" s="15" t="s">
        <v>115</v>
      </c>
      <c r="C350" s="138" t="s">
        <v>147</v>
      </c>
      <c r="D350" s="138" t="s">
        <v>114</v>
      </c>
      <c r="E350" s="96">
        <f>Lead!E48</f>
        <v>200</v>
      </c>
      <c r="F350" s="785">
        <f>E350*C350</f>
        <v>280</v>
      </c>
      <c r="G350" s="121"/>
      <c r="H350" s="121"/>
      <c r="I350" s="121"/>
      <c r="J350" s="121"/>
    </row>
    <row r="351" spans="1:10" s="149" customFormat="1" ht="25.5" hidden="1">
      <c r="B351" s="15" t="s">
        <v>148</v>
      </c>
      <c r="C351" s="138" t="s">
        <v>147</v>
      </c>
      <c r="D351" s="138" t="s">
        <v>114</v>
      </c>
      <c r="E351" s="96">
        <f>Lead!E47</f>
        <v>200</v>
      </c>
      <c r="F351" s="785">
        <f>E351*C351</f>
        <v>280</v>
      </c>
      <c r="G351" s="121"/>
      <c r="H351" s="121"/>
      <c r="I351" s="121"/>
      <c r="J351" s="121"/>
    </row>
    <row r="352" spans="1:10" s="149" customFormat="1" hidden="1">
      <c r="B352" s="15" t="s">
        <v>494</v>
      </c>
      <c r="C352" s="4"/>
      <c r="D352" s="138" t="s">
        <v>116</v>
      </c>
      <c r="E352" s="785">
        <f>SUM(F344:F351)</f>
        <v>4258.6499999999996</v>
      </c>
      <c r="F352" s="785">
        <f>E352*0.15</f>
        <v>638.7974999999999</v>
      </c>
      <c r="G352" s="121"/>
      <c r="H352" s="121"/>
      <c r="I352" s="121"/>
      <c r="J352" s="121"/>
    </row>
    <row r="353" spans="1:10" s="149" customFormat="1" hidden="1">
      <c r="B353" s="15" t="s">
        <v>117</v>
      </c>
      <c r="C353" s="4"/>
      <c r="D353" s="4"/>
      <c r="E353" s="4"/>
      <c r="F353" s="786">
        <f>SUM(F344:F352)</f>
        <v>4897.4474999999993</v>
      </c>
      <c r="G353" s="121"/>
      <c r="H353" s="121"/>
      <c r="I353" s="121"/>
      <c r="J353" s="121"/>
    </row>
    <row r="354" spans="1:10" s="149" customFormat="1" hidden="1">
      <c r="B354" s="99" t="s">
        <v>124</v>
      </c>
      <c r="C354" s="4"/>
      <c r="D354" s="4"/>
      <c r="E354" s="4"/>
      <c r="F354" s="4"/>
      <c r="G354" s="121"/>
      <c r="H354" s="121"/>
      <c r="I354" s="121"/>
      <c r="J354" s="121"/>
    </row>
    <row r="355" spans="1:10" s="149" customFormat="1" hidden="1">
      <c r="B355" s="15" t="s">
        <v>141</v>
      </c>
      <c r="C355" s="138" t="s">
        <v>149</v>
      </c>
      <c r="D355" s="138" t="s">
        <v>123</v>
      </c>
      <c r="E355" s="96">
        <f>Lead!J11</f>
        <v>850.4</v>
      </c>
      <c r="F355" s="785">
        <f>E355*C355</f>
        <v>765.36</v>
      </c>
      <c r="G355" s="121"/>
      <c r="H355" s="121"/>
      <c r="I355" s="121"/>
      <c r="J355" s="121"/>
    </row>
    <row r="356" spans="1:10" s="149" customFormat="1" hidden="1">
      <c r="B356" s="15" t="s">
        <v>143</v>
      </c>
      <c r="C356" s="138" t="s">
        <v>126</v>
      </c>
      <c r="D356" s="138" t="s">
        <v>123</v>
      </c>
      <c r="E356" s="96">
        <f>Lead!J20</f>
        <v>196.4</v>
      </c>
      <c r="F356" s="785">
        <f>E356*C356</f>
        <v>88.38000000000001</v>
      </c>
      <c r="G356" s="121"/>
      <c r="H356" s="121"/>
      <c r="I356" s="121"/>
      <c r="J356" s="121"/>
    </row>
    <row r="357" spans="1:10" s="149" customFormat="1" hidden="1">
      <c r="B357" s="15" t="s">
        <v>33</v>
      </c>
      <c r="C357" s="138" t="s">
        <v>144</v>
      </c>
      <c r="D357" s="138" t="s">
        <v>127</v>
      </c>
      <c r="E357" s="96">
        <f>Lead!J29</f>
        <v>16.899999999999999</v>
      </c>
      <c r="F357" s="785">
        <f>E357*C357</f>
        <v>54.586999999999996</v>
      </c>
      <c r="G357" s="121"/>
      <c r="H357" s="121"/>
      <c r="I357" s="121"/>
      <c r="J357" s="121"/>
    </row>
    <row r="358" spans="1:10" s="149" customFormat="1" hidden="1">
      <c r="B358" s="3"/>
      <c r="C358" s="787"/>
      <c r="D358" s="4"/>
      <c r="E358" s="4"/>
      <c r="F358" s="381">
        <f>SUM(F353:F357)</f>
        <v>5805.7744999999995</v>
      </c>
      <c r="G358" s="121"/>
      <c r="H358" s="121"/>
      <c r="I358" s="121"/>
      <c r="J358" s="121"/>
    </row>
    <row r="359" spans="1:10" s="149" customFormat="1" hidden="1">
      <c r="B359" s="63" t="s">
        <v>493</v>
      </c>
      <c r="C359" s="138"/>
      <c r="D359" s="138"/>
      <c r="E359" s="138"/>
      <c r="F359" s="785">
        <f>F358*0.01</f>
        <v>58.057744999999997</v>
      </c>
      <c r="G359" s="121"/>
      <c r="H359" s="121"/>
      <c r="I359" s="121"/>
      <c r="J359" s="121"/>
    </row>
    <row r="360" spans="1:10" s="149" customFormat="1" hidden="1">
      <c r="B360" s="63" t="s">
        <v>117</v>
      </c>
      <c r="C360" s="138"/>
      <c r="D360" s="138"/>
      <c r="E360" s="138"/>
      <c r="F360" s="785">
        <f>SUM(F358:F359)</f>
        <v>5863.8322449999996</v>
      </c>
      <c r="G360" s="121"/>
      <c r="H360" s="121"/>
      <c r="I360" s="121"/>
      <c r="J360" s="121"/>
    </row>
    <row r="361" spans="1:10" s="149" customFormat="1" hidden="1">
      <c r="B361" s="45"/>
      <c r="C361" s="787"/>
      <c r="D361" s="787"/>
      <c r="E361" s="787" t="s">
        <v>120</v>
      </c>
      <c r="F361" s="777">
        <f>ROUND(F360,1)</f>
        <v>5863.8</v>
      </c>
      <c r="G361" s="121"/>
      <c r="H361" s="121"/>
      <c r="I361" s="121"/>
      <c r="J361" s="121"/>
    </row>
    <row r="362" spans="1:10" s="149" customFormat="1" hidden="1">
      <c r="B362" s="45"/>
      <c r="C362" s="787"/>
      <c r="D362" s="787"/>
      <c r="E362" s="787"/>
      <c r="F362" s="777"/>
      <c r="G362" s="121"/>
      <c r="H362" s="121"/>
      <c r="I362" s="121"/>
      <c r="J362" s="121"/>
    </row>
    <row r="363" spans="1:10" s="149" customFormat="1" hidden="1">
      <c r="C363" s="121"/>
      <c r="D363" s="121"/>
      <c r="E363" s="121"/>
      <c r="F363" s="121"/>
      <c r="G363" s="121"/>
      <c r="H363" s="121"/>
      <c r="I363" s="121"/>
      <c r="J363" s="121"/>
    </row>
    <row r="364" spans="1:10" s="149" customFormat="1" ht="51" hidden="1">
      <c r="A364" s="133">
        <v>11</v>
      </c>
      <c r="B364" s="129" t="s">
        <v>314</v>
      </c>
      <c r="C364" s="121"/>
      <c r="D364" s="121"/>
      <c r="E364" s="121"/>
      <c r="F364" s="121"/>
      <c r="G364" s="121"/>
      <c r="H364" s="121"/>
      <c r="I364" s="121"/>
      <c r="J364" s="121"/>
    </row>
    <row r="365" spans="1:10" s="149" customFormat="1" hidden="1">
      <c r="B365" s="3" t="s">
        <v>70</v>
      </c>
      <c r="C365" s="777"/>
      <c r="D365" s="777"/>
      <c r="E365" s="777"/>
      <c r="F365" s="777"/>
      <c r="G365" s="121"/>
      <c r="H365" s="121"/>
      <c r="I365" s="121"/>
      <c r="J365" s="121"/>
    </row>
    <row r="366" spans="1:10" s="149" customFormat="1" hidden="1">
      <c r="B366" s="61" t="s">
        <v>271</v>
      </c>
      <c r="C366" s="96">
        <v>1</v>
      </c>
      <c r="D366" s="16" t="s">
        <v>123</v>
      </c>
      <c r="E366" s="96">
        <f>E407</f>
        <v>4872.7040950000001</v>
      </c>
      <c r="F366" s="16">
        <f>E366*C366</f>
        <v>4872.7040950000001</v>
      </c>
      <c r="G366" s="121"/>
      <c r="H366" s="121"/>
      <c r="I366" s="121"/>
      <c r="J366" s="121"/>
    </row>
    <row r="367" spans="1:10" s="149" customFormat="1" hidden="1">
      <c r="B367" s="61" t="s">
        <v>1004</v>
      </c>
      <c r="C367" s="96">
        <v>10</v>
      </c>
      <c r="D367" s="96" t="s">
        <v>32</v>
      </c>
      <c r="E367" s="96">
        <f>F238</f>
        <v>353.1</v>
      </c>
      <c r="F367" s="16">
        <f>E367*C367</f>
        <v>3531</v>
      </c>
      <c r="G367" s="121"/>
      <c r="H367" s="121"/>
      <c r="I367" s="121"/>
      <c r="J367" s="121"/>
    </row>
    <row r="368" spans="1:10" s="149" customFormat="1" hidden="1">
      <c r="B368" s="64" t="s">
        <v>117</v>
      </c>
      <c r="C368" s="777"/>
      <c r="D368" s="777"/>
      <c r="E368" s="777"/>
      <c r="F368" s="777">
        <f>SUM(F366:F367)</f>
        <v>8403.704095000001</v>
      </c>
      <c r="G368" s="121"/>
      <c r="H368" s="121"/>
      <c r="I368" s="121"/>
      <c r="J368" s="121"/>
    </row>
    <row r="369" spans="2:10" s="149" customFormat="1" hidden="1">
      <c r="B369" s="45"/>
      <c r="C369" s="777"/>
      <c r="D369" s="777"/>
      <c r="E369" s="16" t="s">
        <v>120</v>
      </c>
      <c r="F369" s="777">
        <f>ROUND(F368,1)</f>
        <v>8403.7000000000007</v>
      </c>
      <c r="G369" s="121"/>
      <c r="H369" s="121"/>
      <c r="I369" s="121"/>
      <c r="J369" s="121"/>
    </row>
    <row r="370" spans="2:10" s="149" customFormat="1" hidden="1">
      <c r="B370" s="45"/>
      <c r="C370" s="777"/>
      <c r="D370" s="777"/>
      <c r="E370" s="16"/>
      <c r="F370" s="777"/>
      <c r="G370" s="121"/>
      <c r="H370" s="121"/>
      <c r="I370" s="121"/>
      <c r="J370" s="121"/>
    </row>
    <row r="371" spans="2:10" s="149" customFormat="1" hidden="1">
      <c r="B371" s="3" t="s">
        <v>71</v>
      </c>
      <c r="C371" s="777"/>
      <c r="D371" s="777"/>
      <c r="E371" s="777"/>
      <c r="F371" s="777"/>
      <c r="G371" s="121"/>
      <c r="H371" s="121"/>
      <c r="I371" s="121"/>
      <c r="J371" s="121"/>
    </row>
    <row r="372" spans="2:10" s="149" customFormat="1" hidden="1">
      <c r="B372" s="61" t="s">
        <v>271</v>
      </c>
      <c r="C372" s="96">
        <v>1</v>
      </c>
      <c r="D372" s="16" t="s">
        <v>123</v>
      </c>
      <c r="E372" s="96">
        <f>F77</f>
        <v>4925.3158000000003</v>
      </c>
      <c r="F372" s="16">
        <f>E372*C372</f>
        <v>4925.3158000000003</v>
      </c>
      <c r="G372" s="121"/>
      <c r="H372" s="121"/>
      <c r="I372" s="121"/>
      <c r="J372" s="121"/>
    </row>
    <row r="373" spans="2:10" s="149" customFormat="1" hidden="1">
      <c r="B373" s="61" t="s">
        <v>272</v>
      </c>
      <c r="C373" s="96">
        <v>10</v>
      </c>
      <c r="D373" s="96" t="s">
        <v>32</v>
      </c>
      <c r="E373" s="96">
        <f>F243</f>
        <v>423.7</v>
      </c>
      <c r="F373" s="16">
        <f>E373*C373</f>
        <v>4237</v>
      </c>
      <c r="G373" s="121"/>
      <c r="H373" s="121"/>
      <c r="I373" s="121"/>
      <c r="J373" s="121"/>
    </row>
    <row r="374" spans="2:10" s="149" customFormat="1" hidden="1">
      <c r="B374" s="64" t="s">
        <v>117</v>
      </c>
      <c r="C374" s="777"/>
      <c r="D374" s="777"/>
      <c r="E374" s="777"/>
      <c r="F374" s="777">
        <f>SUM(F372:F373)</f>
        <v>9162.3158000000003</v>
      </c>
      <c r="G374" s="121"/>
      <c r="H374" s="121"/>
      <c r="I374" s="121"/>
      <c r="J374" s="121"/>
    </row>
    <row r="375" spans="2:10" s="149" customFormat="1" hidden="1">
      <c r="B375" s="45"/>
      <c r="C375" s="777"/>
      <c r="D375" s="777"/>
      <c r="E375" s="16" t="s">
        <v>120</v>
      </c>
      <c r="F375" s="777">
        <f>ROUND(F374,1)</f>
        <v>9162.2999999999993</v>
      </c>
      <c r="G375" s="121"/>
      <c r="H375" s="121"/>
      <c r="I375" s="121"/>
      <c r="J375" s="121"/>
    </row>
    <row r="376" spans="2:10" s="149" customFormat="1" hidden="1">
      <c r="B376" s="45"/>
      <c r="C376" s="777"/>
      <c r="D376" s="777"/>
      <c r="E376" s="16"/>
      <c r="F376" s="777"/>
      <c r="G376" s="121"/>
      <c r="H376" s="121"/>
      <c r="I376" s="121"/>
      <c r="J376" s="121"/>
    </row>
    <row r="377" spans="2:10" s="149" customFormat="1" hidden="1">
      <c r="B377" s="3" t="s">
        <v>1050</v>
      </c>
      <c r="C377" s="777"/>
      <c r="D377" s="777"/>
      <c r="E377" s="777"/>
      <c r="F377" s="777"/>
      <c r="G377" s="121"/>
      <c r="H377" s="121"/>
      <c r="I377" s="121"/>
      <c r="J377" s="121"/>
    </row>
    <row r="378" spans="2:10" s="149" customFormat="1" hidden="1">
      <c r="B378" s="61" t="s">
        <v>271</v>
      </c>
      <c r="C378" s="96">
        <v>1</v>
      </c>
      <c r="D378" s="16" t="s">
        <v>123</v>
      </c>
      <c r="E378" s="96">
        <f>F83</f>
        <v>4985.5</v>
      </c>
      <c r="F378" s="16">
        <f>E378*C378</f>
        <v>4985.5</v>
      </c>
      <c r="G378" s="121"/>
      <c r="H378" s="121"/>
      <c r="I378" s="121"/>
      <c r="J378" s="121"/>
    </row>
    <row r="379" spans="2:10" s="149" customFormat="1" hidden="1">
      <c r="B379" s="61" t="s">
        <v>272</v>
      </c>
      <c r="C379" s="96">
        <v>10</v>
      </c>
      <c r="D379" s="96" t="s">
        <v>32</v>
      </c>
      <c r="E379" s="96">
        <f>F248</f>
        <v>508.5</v>
      </c>
      <c r="F379" s="16">
        <f>E379*C379</f>
        <v>5085</v>
      </c>
      <c r="G379" s="121"/>
      <c r="H379" s="121"/>
      <c r="I379" s="121"/>
      <c r="J379" s="121"/>
    </row>
    <row r="380" spans="2:10" s="149" customFormat="1" hidden="1">
      <c r="B380" s="64" t="s">
        <v>117</v>
      </c>
      <c r="C380" s="777"/>
      <c r="D380" s="777"/>
      <c r="E380" s="777"/>
      <c r="F380" s="777">
        <f>SUM(F378:F379)</f>
        <v>10070.5</v>
      </c>
      <c r="G380" s="121"/>
      <c r="H380" s="121"/>
      <c r="I380" s="121"/>
      <c r="J380" s="121"/>
    </row>
    <row r="381" spans="2:10" s="149" customFormat="1" hidden="1">
      <c r="B381" s="45"/>
      <c r="C381" s="777"/>
      <c r="D381" s="777"/>
      <c r="E381" s="16" t="s">
        <v>120</v>
      </c>
      <c r="F381" s="777">
        <f>ROUND(F380,1)</f>
        <v>10070.5</v>
      </c>
      <c r="G381" s="121"/>
      <c r="H381" s="121"/>
      <c r="I381" s="121"/>
      <c r="J381" s="121"/>
    </row>
    <row r="382" spans="2:10" s="149" customFormat="1" hidden="1">
      <c r="B382" s="45"/>
      <c r="C382" s="777"/>
      <c r="D382" s="777"/>
      <c r="E382" s="16"/>
      <c r="F382" s="777"/>
      <c r="G382" s="121"/>
      <c r="H382" s="121"/>
      <c r="I382" s="121"/>
      <c r="J382" s="121"/>
    </row>
    <row r="383" spans="2:10" s="149" customFormat="1" hidden="1">
      <c r="B383" s="45"/>
      <c r="C383" s="777"/>
      <c r="D383" s="777"/>
      <c r="E383" s="16"/>
      <c r="F383" s="777"/>
      <c r="G383" s="121"/>
      <c r="H383" s="121"/>
      <c r="I383" s="121"/>
      <c r="J383" s="121"/>
    </row>
    <row r="384" spans="2:10" s="149" customFormat="1" hidden="1">
      <c r="B384" s="45"/>
      <c r="C384" s="777"/>
      <c r="D384" s="777"/>
      <c r="E384" s="16"/>
      <c r="F384" s="777"/>
      <c r="G384" s="121"/>
      <c r="H384" s="121"/>
      <c r="I384" s="121"/>
      <c r="J384" s="121"/>
    </row>
    <row r="385" spans="1:10" s="149" customFormat="1" ht="51" hidden="1">
      <c r="A385" s="133">
        <v>12</v>
      </c>
      <c r="B385" s="129" t="s">
        <v>1003</v>
      </c>
      <c r="C385" s="777"/>
      <c r="D385" s="777"/>
      <c r="E385" s="16"/>
      <c r="F385" s="777"/>
      <c r="G385" s="121"/>
      <c r="H385" s="121"/>
      <c r="I385" s="121"/>
      <c r="J385" s="121"/>
    </row>
    <row r="386" spans="1:10" s="149" customFormat="1" hidden="1">
      <c r="B386" s="3" t="s">
        <v>70</v>
      </c>
      <c r="C386" s="777"/>
      <c r="D386" s="777"/>
      <c r="E386" s="777"/>
      <c r="F386" s="777"/>
      <c r="G386" s="121"/>
      <c r="H386" s="121"/>
      <c r="I386" s="121"/>
      <c r="J386" s="121"/>
    </row>
    <row r="387" spans="1:10" s="149" customFormat="1" hidden="1">
      <c r="B387" s="61" t="s">
        <v>271</v>
      </c>
      <c r="C387" s="96">
        <v>1</v>
      </c>
      <c r="D387" s="16" t="s">
        <v>123</v>
      </c>
      <c r="E387" s="96">
        <f>E366</f>
        <v>4872.7040950000001</v>
      </c>
      <c r="F387" s="16">
        <f>E387*C387</f>
        <v>4872.7040950000001</v>
      </c>
      <c r="G387" s="121"/>
      <c r="H387" s="121"/>
      <c r="I387" s="121"/>
      <c r="J387" s="121"/>
    </row>
    <row r="388" spans="1:10" s="149" customFormat="1" hidden="1">
      <c r="B388" s="61" t="s">
        <v>272</v>
      </c>
      <c r="C388" s="96">
        <v>9</v>
      </c>
      <c r="D388" s="96" t="s">
        <v>32</v>
      </c>
      <c r="E388" s="96">
        <f>F551</f>
        <v>355.9</v>
      </c>
      <c r="F388" s="16">
        <f>E388*C388</f>
        <v>3203.1</v>
      </c>
      <c r="G388" s="121"/>
      <c r="H388" s="121"/>
      <c r="I388" s="121"/>
      <c r="J388" s="121"/>
    </row>
    <row r="389" spans="1:10" s="149" customFormat="1" hidden="1">
      <c r="B389" s="64" t="s">
        <v>117</v>
      </c>
      <c r="C389" s="777"/>
      <c r="D389" s="777"/>
      <c r="E389" s="777"/>
      <c r="F389" s="777">
        <f>SUM(F387:F388)</f>
        <v>8075.8040949999995</v>
      </c>
      <c r="G389" s="121"/>
      <c r="H389" s="121"/>
      <c r="I389" s="121"/>
      <c r="J389" s="121"/>
    </row>
    <row r="390" spans="1:10" s="149" customFormat="1" hidden="1">
      <c r="B390" s="45"/>
      <c r="C390" s="777"/>
      <c r="D390" s="777"/>
      <c r="E390" s="16" t="s">
        <v>120</v>
      </c>
      <c r="F390" s="777">
        <f>ROUND(F389,1)</f>
        <v>8075.8</v>
      </c>
      <c r="G390" s="121"/>
      <c r="H390" s="121"/>
      <c r="I390" s="121"/>
      <c r="J390" s="121"/>
    </row>
    <row r="391" spans="1:10" s="149" customFormat="1" hidden="1">
      <c r="C391" s="121"/>
      <c r="D391" s="121"/>
      <c r="E391" s="121"/>
      <c r="F391" s="121"/>
      <c r="G391" s="121"/>
      <c r="H391" s="121"/>
      <c r="I391" s="121"/>
      <c r="J391" s="121"/>
    </row>
    <row r="392" spans="1:10" s="149" customFormat="1" hidden="1">
      <c r="B392" s="3" t="s">
        <v>71</v>
      </c>
      <c r="C392" s="777"/>
      <c r="D392" s="777"/>
      <c r="E392" s="777"/>
      <c r="F392" s="777"/>
      <c r="G392" s="121"/>
      <c r="H392" s="121"/>
      <c r="I392" s="121"/>
      <c r="J392" s="121"/>
    </row>
    <row r="393" spans="1:10" s="149" customFormat="1" hidden="1">
      <c r="B393" s="61" t="s">
        <v>271</v>
      </c>
      <c r="C393" s="96">
        <v>1</v>
      </c>
      <c r="D393" s="16" t="s">
        <v>123</v>
      </c>
      <c r="E393" s="96">
        <f>E372</f>
        <v>4925.3158000000003</v>
      </c>
      <c r="F393" s="16">
        <f>E393*C393</f>
        <v>4925.3158000000003</v>
      </c>
      <c r="G393" s="121"/>
      <c r="H393" s="121"/>
      <c r="I393" s="121"/>
      <c r="J393" s="121"/>
    </row>
    <row r="394" spans="1:10" s="149" customFormat="1" hidden="1">
      <c r="B394" s="61" t="s">
        <v>272</v>
      </c>
      <c r="C394" s="96">
        <v>9</v>
      </c>
      <c r="D394" s="96" t="s">
        <v>32</v>
      </c>
      <c r="E394" s="96">
        <f>F556</f>
        <v>427</v>
      </c>
      <c r="F394" s="16">
        <f>E394*C394</f>
        <v>3843</v>
      </c>
      <c r="G394" s="121"/>
      <c r="H394" s="121"/>
      <c r="I394" s="121"/>
      <c r="J394" s="121"/>
    </row>
    <row r="395" spans="1:10" s="149" customFormat="1" hidden="1">
      <c r="B395" s="64" t="s">
        <v>117</v>
      </c>
      <c r="C395" s="777"/>
      <c r="D395" s="777"/>
      <c r="E395" s="777"/>
      <c r="F395" s="777">
        <f>SUM(F393:F394)</f>
        <v>8768.3158000000003</v>
      </c>
      <c r="G395" s="121"/>
      <c r="H395" s="121"/>
      <c r="I395" s="121"/>
      <c r="J395" s="121"/>
    </row>
    <row r="396" spans="1:10" s="149" customFormat="1" hidden="1">
      <c r="B396" s="45"/>
      <c r="C396" s="777"/>
      <c r="D396" s="777"/>
      <c r="E396" s="16" t="s">
        <v>120</v>
      </c>
      <c r="F396" s="777">
        <f>ROUND(F395,1)</f>
        <v>8768.2999999999993</v>
      </c>
      <c r="G396" s="121"/>
      <c r="H396" s="121"/>
      <c r="I396" s="121"/>
      <c r="J396" s="121"/>
    </row>
    <row r="397" spans="1:10" s="149" customFormat="1" hidden="1">
      <c r="B397" s="45"/>
      <c r="C397" s="777"/>
      <c r="D397" s="777"/>
      <c r="E397" s="16"/>
      <c r="F397" s="777"/>
      <c r="G397" s="121"/>
      <c r="H397" s="121"/>
      <c r="I397" s="121"/>
      <c r="J397" s="121"/>
    </row>
    <row r="398" spans="1:10" s="149" customFormat="1" hidden="1">
      <c r="B398" s="3" t="s">
        <v>1050</v>
      </c>
      <c r="C398" s="777"/>
      <c r="D398" s="777"/>
      <c r="E398" s="777"/>
      <c r="F398" s="777"/>
      <c r="G398" s="121"/>
      <c r="H398" s="121"/>
      <c r="I398" s="121"/>
      <c r="J398" s="121"/>
    </row>
    <row r="399" spans="1:10" s="149" customFormat="1" hidden="1">
      <c r="B399" s="61" t="s">
        <v>271</v>
      </c>
      <c r="C399" s="96">
        <v>1</v>
      </c>
      <c r="D399" s="16" t="s">
        <v>123</v>
      </c>
      <c r="E399" s="96">
        <f>E378</f>
        <v>4985.5</v>
      </c>
      <c r="F399" s="16">
        <f>E399*C399</f>
        <v>4985.5</v>
      </c>
      <c r="G399" s="121"/>
      <c r="H399" s="121"/>
      <c r="I399" s="121"/>
      <c r="J399" s="121"/>
    </row>
    <row r="400" spans="1:10" s="149" customFormat="1" hidden="1">
      <c r="B400" s="61" t="s">
        <v>272</v>
      </c>
      <c r="C400" s="96">
        <v>9</v>
      </c>
      <c r="D400" s="96" t="s">
        <v>32</v>
      </c>
      <c r="E400" s="96">
        <f>F561</f>
        <v>512.4</v>
      </c>
      <c r="F400" s="16">
        <f>E400*C400</f>
        <v>4611.5999999999995</v>
      </c>
      <c r="G400" s="121"/>
      <c r="H400" s="121"/>
      <c r="I400" s="121"/>
      <c r="J400" s="121"/>
    </row>
    <row r="401" spans="1:10" s="149" customFormat="1" hidden="1">
      <c r="B401" s="64" t="s">
        <v>117</v>
      </c>
      <c r="C401" s="777"/>
      <c r="D401" s="777"/>
      <c r="E401" s="777"/>
      <c r="F401" s="777">
        <f>SUM(F399:F400)</f>
        <v>9597.0999999999985</v>
      </c>
      <c r="G401" s="121"/>
      <c r="H401" s="121"/>
      <c r="I401" s="121"/>
      <c r="J401" s="121"/>
    </row>
    <row r="402" spans="1:10" s="149" customFormat="1" hidden="1">
      <c r="B402" s="45"/>
      <c r="C402" s="777"/>
      <c r="D402" s="777"/>
      <c r="E402" s="16" t="s">
        <v>120</v>
      </c>
      <c r="F402" s="777">
        <f>ROUND(F401,1)</f>
        <v>9597.1</v>
      </c>
      <c r="G402" s="121"/>
      <c r="H402" s="121"/>
      <c r="I402" s="121"/>
      <c r="J402" s="121"/>
    </row>
    <row r="403" spans="1:10" s="149" customFormat="1" hidden="1">
      <c r="C403" s="121"/>
      <c r="D403" s="121"/>
      <c r="E403" s="121"/>
      <c r="F403" s="121"/>
      <c r="G403" s="121"/>
      <c r="H403" s="121"/>
      <c r="I403" s="121"/>
      <c r="J403" s="121"/>
    </row>
    <row r="404" spans="1:10" s="149" customFormat="1" hidden="1">
      <c r="C404" s="121"/>
      <c r="D404" s="121"/>
      <c r="E404" s="121"/>
      <c r="F404" s="121"/>
      <c r="G404" s="121"/>
      <c r="H404" s="121"/>
      <c r="I404" s="121"/>
      <c r="J404" s="121"/>
    </row>
    <row r="405" spans="1:10" s="149" customFormat="1" hidden="1">
      <c r="C405" s="121"/>
      <c r="D405" s="121"/>
      <c r="E405" s="121"/>
      <c r="F405" s="121"/>
      <c r="G405" s="121"/>
      <c r="H405" s="121"/>
      <c r="I405" s="121"/>
      <c r="J405" s="121"/>
    </row>
    <row r="406" spans="1:10" s="149" customFormat="1" ht="51" hidden="1">
      <c r="A406" s="133">
        <v>13</v>
      </c>
      <c r="B406" s="129" t="s">
        <v>554</v>
      </c>
      <c r="C406" s="777"/>
      <c r="D406" s="777"/>
      <c r="E406" s="777"/>
      <c r="F406" s="777"/>
      <c r="G406" s="121"/>
      <c r="H406" s="121"/>
      <c r="I406" s="121"/>
      <c r="J406" s="121"/>
    </row>
    <row r="407" spans="1:10" s="149" customFormat="1" hidden="1">
      <c r="B407" s="61" t="s">
        <v>271</v>
      </c>
      <c r="C407" s="96">
        <v>1</v>
      </c>
      <c r="D407" s="16" t="s">
        <v>123</v>
      </c>
      <c r="E407" s="96">
        <f>F71</f>
        <v>4872.7040950000001</v>
      </c>
      <c r="F407" s="16">
        <f>E407*C407</f>
        <v>4872.7040950000001</v>
      </c>
      <c r="G407" s="121"/>
      <c r="H407" s="121"/>
      <c r="I407" s="121"/>
      <c r="J407" s="121"/>
    </row>
    <row r="408" spans="1:10" s="149" customFormat="1" hidden="1">
      <c r="B408" s="61" t="s">
        <v>272</v>
      </c>
      <c r="C408" s="96">
        <v>1.5</v>
      </c>
      <c r="D408" s="96" t="s">
        <v>32</v>
      </c>
      <c r="E408" s="96">
        <f>'[1]Revised Analysis'!F158</f>
        <v>89.355120483199997</v>
      </c>
      <c r="F408" s="16">
        <f>E408*C408</f>
        <v>134.0326807248</v>
      </c>
      <c r="G408" s="121"/>
      <c r="H408" s="121"/>
      <c r="I408" s="121"/>
      <c r="J408" s="121"/>
    </row>
    <row r="409" spans="1:10" s="149" customFormat="1" hidden="1">
      <c r="B409" s="64" t="s">
        <v>117</v>
      </c>
      <c r="C409" s="777"/>
      <c r="D409" s="777"/>
      <c r="E409" s="777"/>
      <c r="F409" s="777">
        <f>SUM(F407:F408)</f>
        <v>5006.7367757248003</v>
      </c>
      <c r="G409" s="121"/>
      <c r="H409" s="121"/>
      <c r="I409" s="121"/>
      <c r="J409" s="121"/>
    </row>
    <row r="410" spans="1:10" s="149" customFormat="1" hidden="1">
      <c r="B410" s="3" t="s">
        <v>71</v>
      </c>
      <c r="C410" s="777"/>
      <c r="D410" s="777"/>
      <c r="E410" s="777"/>
      <c r="F410" s="777"/>
      <c r="G410" s="121"/>
      <c r="H410" s="121"/>
      <c r="I410" s="121"/>
      <c r="J410" s="121"/>
    </row>
    <row r="411" spans="1:10" s="149" customFormat="1" hidden="1">
      <c r="B411" s="61" t="s">
        <v>271</v>
      </c>
      <c r="C411" s="96">
        <v>1</v>
      </c>
      <c r="D411" s="16" t="s">
        <v>123</v>
      </c>
      <c r="E411" s="96">
        <f>E372</f>
        <v>4925.3158000000003</v>
      </c>
      <c r="F411" s="16">
        <f>E411*C411</f>
        <v>4925.3158000000003</v>
      </c>
      <c r="G411" s="121"/>
      <c r="H411" s="121"/>
      <c r="I411" s="121"/>
      <c r="J411" s="121"/>
    </row>
    <row r="412" spans="1:10" s="149" customFormat="1" hidden="1">
      <c r="B412" s="61" t="s">
        <v>272</v>
      </c>
      <c r="C412" s="96">
        <v>1.5</v>
      </c>
      <c r="D412" s="96" t="s">
        <v>32</v>
      </c>
      <c r="E412" s="96">
        <f>F213</f>
        <v>111.5</v>
      </c>
      <c r="F412" s="16">
        <f>E412*C412</f>
        <v>167.25</v>
      </c>
      <c r="G412" s="121"/>
      <c r="H412" s="121"/>
      <c r="I412" s="121"/>
      <c r="J412" s="121"/>
    </row>
    <row r="413" spans="1:10" s="149" customFormat="1" hidden="1">
      <c r="B413" s="64" t="s">
        <v>117</v>
      </c>
      <c r="C413" s="777"/>
      <c r="D413" s="777"/>
      <c r="E413" s="777"/>
      <c r="F413" s="777">
        <f>SUM(F411:F412)</f>
        <v>5092.5658000000003</v>
      </c>
      <c r="G413" s="121"/>
      <c r="H413" s="121"/>
      <c r="I413" s="121"/>
      <c r="J413" s="121"/>
    </row>
    <row r="414" spans="1:10" s="149" customFormat="1" hidden="1">
      <c r="B414" s="45"/>
      <c r="C414" s="777"/>
      <c r="D414" s="777"/>
      <c r="E414" s="16" t="s">
        <v>120</v>
      </c>
      <c r="F414" s="777">
        <f>ROUND(F413,1)</f>
        <v>5092.6000000000004</v>
      </c>
      <c r="G414" s="121"/>
      <c r="H414" s="121"/>
      <c r="I414" s="121"/>
      <c r="J414" s="121"/>
    </row>
    <row r="415" spans="1:10" s="149" customFormat="1" hidden="1">
      <c r="B415" s="45"/>
      <c r="C415" s="777"/>
      <c r="D415" s="777"/>
      <c r="E415" s="16"/>
      <c r="F415" s="777"/>
      <c r="G415" s="121"/>
      <c r="H415" s="121"/>
      <c r="I415" s="121"/>
      <c r="J415" s="121"/>
    </row>
    <row r="416" spans="1:10" s="149" customFormat="1" hidden="1">
      <c r="B416" s="3" t="s">
        <v>1050</v>
      </c>
      <c r="C416" s="777"/>
      <c r="D416" s="777"/>
      <c r="E416" s="777"/>
      <c r="F416" s="777"/>
      <c r="G416" s="121"/>
      <c r="H416" s="121"/>
      <c r="I416" s="121"/>
      <c r="J416" s="121"/>
    </row>
    <row r="417" spans="1:10" s="149" customFormat="1" hidden="1">
      <c r="B417" s="61" t="s">
        <v>271</v>
      </c>
      <c r="C417" s="96">
        <v>1</v>
      </c>
      <c r="D417" s="16" t="s">
        <v>123</v>
      </c>
      <c r="E417" s="96">
        <f>E378</f>
        <v>4985.5</v>
      </c>
      <c r="F417" s="16">
        <f>E417*C417</f>
        <v>4985.5</v>
      </c>
      <c r="G417" s="121"/>
      <c r="H417" s="121"/>
      <c r="I417" s="121"/>
      <c r="J417" s="121"/>
    </row>
    <row r="418" spans="1:10" s="149" customFormat="1" hidden="1">
      <c r="B418" s="61" t="s">
        <v>272</v>
      </c>
      <c r="C418" s="96">
        <v>1.5</v>
      </c>
      <c r="D418" s="96" t="s">
        <v>32</v>
      </c>
      <c r="E418" s="96">
        <f>F218</f>
        <v>133.80000000000001</v>
      </c>
      <c r="F418" s="16">
        <f>E418*C418</f>
        <v>200.70000000000002</v>
      </c>
      <c r="G418" s="121"/>
      <c r="H418" s="121"/>
      <c r="I418" s="121"/>
      <c r="J418" s="121"/>
    </row>
    <row r="419" spans="1:10" s="149" customFormat="1" hidden="1">
      <c r="B419" s="64" t="s">
        <v>117</v>
      </c>
      <c r="C419" s="777"/>
      <c r="D419" s="777"/>
      <c r="E419" s="777"/>
      <c r="F419" s="777">
        <f>SUM(F417:F418)</f>
        <v>5186.2</v>
      </c>
      <c r="G419" s="121"/>
      <c r="H419" s="121"/>
      <c r="I419" s="121"/>
      <c r="J419" s="121"/>
    </row>
    <row r="420" spans="1:10" s="149" customFormat="1" hidden="1">
      <c r="B420" s="45"/>
      <c r="C420" s="777"/>
      <c r="D420" s="777"/>
      <c r="E420" s="16" t="s">
        <v>120</v>
      </c>
      <c r="F420" s="777">
        <f>ROUND(F419,1)</f>
        <v>5186.2</v>
      </c>
      <c r="G420" s="121"/>
      <c r="H420" s="121"/>
      <c r="I420" s="121"/>
      <c r="J420" s="121"/>
    </row>
    <row r="421" spans="1:10" s="149" customFormat="1" hidden="1">
      <c r="C421" s="121"/>
      <c r="D421" s="121"/>
      <c r="E421" s="121"/>
      <c r="F421" s="121"/>
      <c r="G421" s="121"/>
      <c r="H421" s="121"/>
      <c r="I421" s="121"/>
      <c r="J421" s="121"/>
    </row>
    <row r="422" spans="1:10" s="149" customFormat="1" ht="51" hidden="1">
      <c r="A422" s="133">
        <v>14</v>
      </c>
      <c r="B422" s="129" t="s">
        <v>555</v>
      </c>
      <c r="C422" s="777"/>
      <c r="D422" s="777"/>
      <c r="E422" s="777"/>
      <c r="F422" s="777"/>
      <c r="G422" s="121"/>
      <c r="H422" s="121"/>
      <c r="I422" s="121"/>
      <c r="J422" s="121"/>
    </row>
    <row r="423" spans="1:10" s="149" customFormat="1" hidden="1">
      <c r="B423" s="61" t="s">
        <v>271</v>
      </c>
      <c r="C423" s="96">
        <v>1</v>
      </c>
      <c r="D423" s="16" t="s">
        <v>123</v>
      </c>
      <c r="E423" s="96">
        <f>'[1]Revised Analysis'!E164</f>
        <v>5426.3426650000001</v>
      </c>
      <c r="F423" s="16">
        <f>E423*C423</f>
        <v>5426.3426650000001</v>
      </c>
      <c r="G423" s="121"/>
      <c r="H423" s="121"/>
      <c r="I423" s="121"/>
      <c r="J423" s="121"/>
    </row>
    <row r="424" spans="1:10" s="149" customFormat="1" hidden="1">
      <c r="B424" s="61" t="s">
        <v>272</v>
      </c>
      <c r="C424" s="96">
        <v>5</v>
      </c>
      <c r="D424" s="96" t="s">
        <v>32</v>
      </c>
      <c r="E424" s="96">
        <f>'[1]Revised Analysis'!E165</f>
        <v>89.355120483199997</v>
      </c>
      <c r="F424" s="16">
        <f>E424*C424</f>
        <v>446.77560241599997</v>
      </c>
      <c r="G424" s="121"/>
      <c r="H424" s="121"/>
      <c r="I424" s="121"/>
      <c r="J424" s="121"/>
    </row>
    <row r="425" spans="1:10" s="149" customFormat="1" hidden="1">
      <c r="B425" s="64" t="s">
        <v>117</v>
      </c>
      <c r="C425" s="777"/>
      <c r="D425" s="777"/>
      <c r="E425" s="777"/>
      <c r="F425" s="777">
        <f>SUM(F423:F424)</f>
        <v>5873.118267416</v>
      </c>
      <c r="G425" s="121"/>
      <c r="H425" s="121"/>
      <c r="I425" s="121"/>
      <c r="J425" s="121"/>
    </row>
    <row r="426" spans="1:10" s="149" customFormat="1" hidden="1">
      <c r="B426" s="45"/>
      <c r="C426" s="777"/>
      <c r="D426" s="777"/>
      <c r="E426" s="16" t="s">
        <v>120</v>
      </c>
      <c r="F426" s="777">
        <f>ROUND(F425,1)</f>
        <v>5873.1</v>
      </c>
      <c r="G426" s="121"/>
      <c r="H426" s="121"/>
      <c r="I426" s="121"/>
      <c r="J426" s="121"/>
    </row>
    <row r="427" spans="1:10" s="149" customFormat="1" hidden="1">
      <c r="C427" s="121"/>
      <c r="D427" s="121"/>
      <c r="E427" s="121"/>
      <c r="F427" s="121"/>
      <c r="G427" s="121"/>
      <c r="H427" s="121"/>
      <c r="I427" s="121"/>
      <c r="J427" s="121"/>
    </row>
    <row r="428" spans="1:10" s="149" customFormat="1" hidden="1">
      <c r="B428" s="3" t="s">
        <v>71</v>
      </c>
      <c r="C428" s="777"/>
      <c r="D428" s="777"/>
      <c r="E428" s="777"/>
      <c r="F428" s="777"/>
      <c r="G428" s="121"/>
      <c r="H428" s="121"/>
      <c r="I428" s="121"/>
      <c r="J428" s="121"/>
    </row>
    <row r="429" spans="1:10" s="149" customFormat="1" hidden="1">
      <c r="B429" s="61" t="s">
        <v>271</v>
      </c>
      <c r="C429" s="96">
        <v>1</v>
      </c>
      <c r="D429" s="16" t="s">
        <v>123</v>
      </c>
      <c r="E429" s="96">
        <f>E411</f>
        <v>4925.3158000000003</v>
      </c>
      <c r="F429" s="16">
        <f>E429*C429</f>
        <v>4925.3158000000003</v>
      </c>
      <c r="G429" s="121"/>
      <c r="H429" s="121"/>
      <c r="I429" s="121"/>
      <c r="J429" s="121"/>
    </row>
    <row r="430" spans="1:10" s="149" customFormat="1" hidden="1">
      <c r="B430" s="61" t="s">
        <v>272</v>
      </c>
      <c r="C430" s="96">
        <v>5</v>
      </c>
      <c r="D430" s="96" t="s">
        <v>32</v>
      </c>
      <c r="E430" s="96">
        <f>F213</f>
        <v>111.5</v>
      </c>
      <c r="F430" s="16">
        <f>E430*C430</f>
        <v>557.5</v>
      </c>
      <c r="G430" s="121"/>
      <c r="H430" s="121"/>
      <c r="I430" s="121"/>
      <c r="J430" s="121"/>
    </row>
    <row r="431" spans="1:10" s="149" customFormat="1" hidden="1">
      <c r="B431" s="64" t="s">
        <v>117</v>
      </c>
      <c r="C431" s="777"/>
      <c r="D431" s="777"/>
      <c r="E431" s="777"/>
      <c r="F431" s="777">
        <f>SUM(F429:F430)</f>
        <v>5482.8158000000003</v>
      </c>
      <c r="G431" s="121"/>
      <c r="H431" s="121"/>
      <c r="I431" s="121"/>
      <c r="J431" s="121"/>
    </row>
    <row r="432" spans="1:10" s="149" customFormat="1" hidden="1">
      <c r="B432" s="45"/>
      <c r="C432" s="777"/>
      <c r="D432" s="777"/>
      <c r="E432" s="16" t="s">
        <v>120</v>
      </c>
      <c r="F432" s="777">
        <f>ROUND(F431,1)</f>
        <v>5482.8</v>
      </c>
      <c r="G432" s="121"/>
      <c r="H432" s="121"/>
      <c r="I432" s="121"/>
      <c r="J432" s="121"/>
    </row>
    <row r="433" spans="1:10" s="149" customFormat="1" hidden="1">
      <c r="B433" s="45"/>
      <c r="C433" s="777"/>
      <c r="D433" s="777"/>
      <c r="E433" s="16"/>
      <c r="F433" s="777"/>
      <c r="G433" s="121"/>
      <c r="H433" s="121"/>
      <c r="I433" s="121"/>
      <c r="J433" s="121"/>
    </row>
    <row r="434" spans="1:10" s="149" customFormat="1" hidden="1">
      <c r="B434" s="3" t="s">
        <v>1050</v>
      </c>
      <c r="C434" s="777"/>
      <c r="D434" s="777"/>
      <c r="E434" s="777"/>
      <c r="F434" s="777"/>
      <c r="G434" s="121"/>
      <c r="H434" s="121"/>
      <c r="I434" s="121"/>
      <c r="J434" s="121"/>
    </row>
    <row r="435" spans="1:10" s="149" customFormat="1" hidden="1">
      <c r="B435" s="61" t="s">
        <v>271</v>
      </c>
      <c r="C435" s="96">
        <v>1</v>
      </c>
      <c r="D435" s="16" t="s">
        <v>123</v>
      </c>
      <c r="E435" s="96">
        <f>E417</f>
        <v>4985.5</v>
      </c>
      <c r="F435" s="16">
        <f>E435*C435</f>
        <v>4985.5</v>
      </c>
      <c r="G435" s="121"/>
      <c r="H435" s="121"/>
      <c r="I435" s="121"/>
      <c r="J435" s="121"/>
    </row>
    <row r="436" spans="1:10" s="149" customFormat="1" hidden="1">
      <c r="B436" s="61" t="s">
        <v>272</v>
      </c>
      <c r="C436" s="96">
        <v>5</v>
      </c>
      <c r="D436" s="96" t="s">
        <v>32</v>
      </c>
      <c r="E436" s="96">
        <f>F218</f>
        <v>133.80000000000001</v>
      </c>
      <c r="F436" s="16">
        <f>E436*C436</f>
        <v>669</v>
      </c>
      <c r="G436" s="121"/>
      <c r="H436" s="121"/>
      <c r="I436" s="121"/>
      <c r="J436" s="121"/>
    </row>
    <row r="437" spans="1:10" s="149" customFormat="1" hidden="1">
      <c r="B437" s="64" t="s">
        <v>117</v>
      </c>
      <c r="C437" s="777"/>
      <c r="D437" s="777"/>
      <c r="E437" s="777"/>
      <c r="F437" s="777">
        <f>SUM(F435:F436)</f>
        <v>5654.5</v>
      </c>
      <c r="G437" s="121"/>
      <c r="H437" s="121"/>
      <c r="I437" s="121"/>
      <c r="J437" s="121"/>
    </row>
    <row r="438" spans="1:10" s="149" customFormat="1" hidden="1">
      <c r="B438" s="45"/>
      <c r="C438" s="777"/>
      <c r="D438" s="777"/>
      <c r="E438" s="16" t="s">
        <v>120</v>
      </c>
      <c r="F438" s="777">
        <f>ROUND(F437,1)</f>
        <v>5654.5</v>
      </c>
      <c r="G438" s="121"/>
      <c r="H438" s="121"/>
      <c r="I438" s="121"/>
      <c r="J438" s="121"/>
    </row>
    <row r="439" spans="1:10" s="149" customFormat="1" hidden="1">
      <c r="C439" s="121"/>
      <c r="D439" s="121"/>
      <c r="E439" s="121"/>
      <c r="F439" s="121"/>
      <c r="G439" s="121"/>
      <c r="H439" s="121"/>
      <c r="I439" s="121"/>
      <c r="J439" s="121"/>
    </row>
    <row r="440" spans="1:10" s="149" customFormat="1" hidden="1">
      <c r="C440" s="121"/>
      <c r="D440" s="121"/>
      <c r="E440" s="121"/>
      <c r="F440" s="121"/>
      <c r="G440" s="121"/>
      <c r="H440" s="121"/>
      <c r="I440" s="121"/>
      <c r="J440" s="121"/>
    </row>
    <row r="441" spans="1:10" s="149" customFormat="1" ht="51" hidden="1">
      <c r="A441" s="133">
        <v>15</v>
      </c>
      <c r="B441" s="129" t="s">
        <v>1002</v>
      </c>
      <c r="C441" s="777"/>
      <c r="D441" s="777"/>
      <c r="E441" s="777"/>
      <c r="F441" s="777"/>
      <c r="G441" s="121"/>
      <c r="H441" s="121"/>
      <c r="I441" s="121"/>
      <c r="J441" s="121"/>
    </row>
    <row r="442" spans="1:10" s="149" customFormat="1" hidden="1">
      <c r="B442" s="61" t="s">
        <v>271</v>
      </c>
      <c r="C442" s="96">
        <v>1</v>
      </c>
      <c r="D442" s="16" t="s">
        <v>123</v>
      </c>
      <c r="E442" s="96">
        <f>F71</f>
        <v>4872.7040950000001</v>
      </c>
      <c r="F442" s="16">
        <f>E442*C442</f>
        <v>4872.7040950000001</v>
      </c>
      <c r="G442" s="121"/>
      <c r="H442" s="121"/>
      <c r="I442" s="121"/>
      <c r="J442" s="121"/>
    </row>
    <row r="443" spans="1:10" s="149" customFormat="1" hidden="1">
      <c r="B443" s="61" t="s">
        <v>272</v>
      </c>
      <c r="C443" s="96">
        <v>14</v>
      </c>
      <c r="D443" s="96" t="s">
        <v>32</v>
      </c>
      <c r="E443" s="96">
        <f>F266</f>
        <v>226.6</v>
      </c>
      <c r="F443" s="16">
        <f>E443*C443</f>
        <v>3172.4</v>
      </c>
      <c r="G443" s="121"/>
      <c r="H443" s="121"/>
      <c r="I443" s="121"/>
      <c r="J443" s="121"/>
    </row>
    <row r="444" spans="1:10" s="149" customFormat="1" hidden="1">
      <c r="B444" s="64" t="s">
        <v>117</v>
      </c>
      <c r="C444" s="777"/>
      <c r="D444" s="777"/>
      <c r="E444" s="777"/>
      <c r="F444" s="777">
        <f>SUM(F442:F443)</f>
        <v>8045.1040950000006</v>
      </c>
      <c r="G444" s="121"/>
      <c r="H444" s="121"/>
      <c r="I444" s="121"/>
      <c r="J444" s="121"/>
    </row>
    <row r="445" spans="1:10" s="149" customFormat="1" hidden="1">
      <c r="B445" s="45"/>
      <c r="C445" s="777"/>
      <c r="D445" s="777"/>
      <c r="E445" s="16" t="s">
        <v>120</v>
      </c>
      <c r="F445" s="777">
        <f>ROUND(F444,1)</f>
        <v>8045.1</v>
      </c>
      <c r="G445" s="121"/>
      <c r="H445" s="121"/>
      <c r="I445" s="121"/>
      <c r="J445" s="121"/>
    </row>
    <row r="446" spans="1:10" s="149" customFormat="1" hidden="1">
      <c r="C446" s="121"/>
      <c r="D446" s="121"/>
      <c r="E446" s="121"/>
      <c r="F446" s="121"/>
      <c r="G446" s="121"/>
      <c r="H446" s="121"/>
      <c r="I446" s="121"/>
      <c r="J446" s="121"/>
    </row>
    <row r="447" spans="1:10" s="149" customFormat="1" hidden="1">
      <c r="B447" s="3" t="s">
        <v>71</v>
      </c>
      <c r="C447" s="777"/>
      <c r="D447" s="777"/>
      <c r="E447" s="777"/>
      <c r="F447" s="777"/>
      <c r="G447" s="121"/>
      <c r="H447" s="121"/>
      <c r="I447" s="121"/>
      <c r="J447" s="121"/>
    </row>
    <row r="448" spans="1:10" s="149" customFormat="1" hidden="1">
      <c r="B448" s="61" t="s">
        <v>271</v>
      </c>
      <c r="C448" s="96">
        <v>1</v>
      </c>
      <c r="D448" s="16" t="s">
        <v>123</v>
      </c>
      <c r="E448" s="96">
        <f>E429</f>
        <v>4925.3158000000003</v>
      </c>
      <c r="F448" s="16">
        <f>E448*C448</f>
        <v>4925.3158000000003</v>
      </c>
      <c r="G448" s="121"/>
      <c r="H448" s="121"/>
      <c r="I448" s="121"/>
      <c r="J448" s="121"/>
    </row>
    <row r="449" spans="1:10" s="149" customFormat="1" hidden="1">
      <c r="B449" s="61" t="s">
        <v>272</v>
      </c>
      <c r="C449" s="96">
        <v>14</v>
      </c>
      <c r="D449" s="96" t="s">
        <v>32</v>
      </c>
      <c r="E449" s="96">
        <f>F272</f>
        <v>271.89999999999998</v>
      </c>
      <c r="F449" s="16">
        <f>E449*C449</f>
        <v>3806.5999999999995</v>
      </c>
      <c r="G449" s="121"/>
      <c r="H449" s="121"/>
      <c r="I449" s="121"/>
      <c r="J449" s="121"/>
    </row>
    <row r="450" spans="1:10" s="149" customFormat="1" hidden="1">
      <c r="B450" s="64" t="s">
        <v>117</v>
      </c>
      <c r="C450" s="777"/>
      <c r="D450" s="777"/>
      <c r="E450" s="777"/>
      <c r="F450" s="777">
        <f>SUM(F448:F449)</f>
        <v>8731.9157999999989</v>
      </c>
      <c r="G450" s="121"/>
      <c r="H450" s="121"/>
      <c r="I450" s="121"/>
      <c r="J450" s="121"/>
    </row>
    <row r="451" spans="1:10" s="149" customFormat="1" hidden="1">
      <c r="B451" s="45"/>
      <c r="C451" s="777"/>
      <c r="D451" s="777"/>
      <c r="E451" s="16" t="s">
        <v>120</v>
      </c>
      <c r="F451" s="777">
        <f>ROUND(F450,1)</f>
        <v>8731.9</v>
      </c>
      <c r="G451" s="121"/>
      <c r="H451" s="121"/>
      <c r="I451" s="121"/>
      <c r="J451" s="121"/>
    </row>
    <row r="452" spans="1:10" s="149" customFormat="1" hidden="1">
      <c r="B452" s="45"/>
      <c r="C452" s="777"/>
      <c r="D452" s="777"/>
      <c r="E452" s="16"/>
      <c r="F452" s="777"/>
      <c r="G452" s="121"/>
      <c r="H452" s="121"/>
      <c r="I452" s="121"/>
      <c r="J452" s="121"/>
    </row>
    <row r="453" spans="1:10" s="149" customFormat="1" hidden="1">
      <c r="B453" s="3" t="s">
        <v>1050</v>
      </c>
      <c r="C453" s="777"/>
      <c r="D453" s="777"/>
      <c r="E453" s="777"/>
      <c r="F453" s="777"/>
      <c r="G453" s="121"/>
      <c r="H453" s="121"/>
      <c r="I453" s="121"/>
      <c r="J453" s="121"/>
    </row>
    <row r="454" spans="1:10" s="149" customFormat="1" hidden="1">
      <c r="B454" s="61" t="s">
        <v>271</v>
      </c>
      <c r="C454" s="96">
        <v>1</v>
      </c>
      <c r="D454" s="16" t="s">
        <v>123</v>
      </c>
      <c r="E454" s="96">
        <f>E435</f>
        <v>4985.5</v>
      </c>
      <c r="F454" s="16">
        <f>E454*C454</f>
        <v>4985.5</v>
      </c>
      <c r="G454" s="121"/>
      <c r="H454" s="121"/>
      <c r="I454" s="121"/>
      <c r="J454" s="121"/>
    </row>
    <row r="455" spans="1:10" s="149" customFormat="1" hidden="1">
      <c r="B455" s="61" t="s">
        <v>272</v>
      </c>
      <c r="C455" s="96">
        <v>14</v>
      </c>
      <c r="D455" s="96" t="s">
        <v>32</v>
      </c>
      <c r="E455" s="96">
        <f>F277</f>
        <v>326.3</v>
      </c>
      <c r="F455" s="16">
        <f>E455*C455</f>
        <v>4568.2</v>
      </c>
      <c r="G455" s="121"/>
      <c r="H455" s="121"/>
      <c r="I455" s="121"/>
      <c r="J455" s="121"/>
    </row>
    <row r="456" spans="1:10" s="149" customFormat="1" hidden="1">
      <c r="B456" s="64" t="s">
        <v>117</v>
      </c>
      <c r="C456" s="777"/>
      <c r="D456" s="777"/>
      <c r="E456" s="777"/>
      <c r="F456" s="777">
        <f>SUM(F454:F455)</f>
        <v>9553.7000000000007</v>
      </c>
      <c r="G456" s="121"/>
      <c r="H456" s="121"/>
      <c r="I456" s="121"/>
      <c r="J456" s="121"/>
    </row>
    <row r="457" spans="1:10" s="149" customFormat="1" hidden="1">
      <c r="B457" s="45"/>
      <c r="C457" s="777"/>
      <c r="D457" s="777"/>
      <c r="E457" s="16" t="s">
        <v>120</v>
      </c>
      <c r="F457" s="777">
        <f>ROUND(F456,1)</f>
        <v>9553.7000000000007</v>
      </c>
      <c r="G457" s="121"/>
      <c r="H457" s="121"/>
      <c r="I457" s="121"/>
      <c r="J457" s="121"/>
    </row>
    <row r="458" spans="1:10" s="149" customFormat="1" hidden="1">
      <c r="C458" s="121"/>
      <c r="D458" s="121"/>
      <c r="E458" s="121"/>
      <c r="F458" s="121"/>
      <c r="G458" s="121"/>
      <c r="H458" s="121"/>
      <c r="I458" s="121"/>
      <c r="J458" s="121"/>
    </row>
    <row r="459" spans="1:10" s="149" customFormat="1" ht="51" hidden="1">
      <c r="A459" s="133">
        <v>17</v>
      </c>
      <c r="B459" s="129" t="s">
        <v>1002</v>
      </c>
      <c r="C459" s="777"/>
      <c r="D459" s="777"/>
      <c r="E459" s="777"/>
      <c r="F459" s="777"/>
      <c r="G459" s="121"/>
      <c r="H459" s="121"/>
      <c r="I459" s="121"/>
      <c r="J459" s="121"/>
    </row>
    <row r="460" spans="1:10" s="149" customFormat="1" hidden="1">
      <c r="B460" s="61" t="s">
        <v>271</v>
      </c>
      <c r="C460" s="96">
        <v>6.5000000000000002E-2</v>
      </c>
      <c r="D460" s="16" t="s">
        <v>123</v>
      </c>
      <c r="E460" s="96">
        <f>F71</f>
        <v>4872.7040950000001</v>
      </c>
      <c r="F460" s="16">
        <f>E460*C460</f>
        <v>316.72576617499999</v>
      </c>
      <c r="G460" s="121"/>
      <c r="H460" s="121"/>
      <c r="I460" s="121"/>
      <c r="J460" s="121"/>
    </row>
    <row r="461" spans="1:10" s="149" customFormat="1" hidden="1">
      <c r="B461" s="61" t="s">
        <v>272</v>
      </c>
      <c r="C461" s="96">
        <v>1.1000000000000001</v>
      </c>
      <c r="D461" s="96" t="s">
        <v>32</v>
      </c>
      <c r="E461" s="96">
        <f>F237</f>
        <v>353.10108995111108</v>
      </c>
      <c r="F461" s="16">
        <f>E461*C461</f>
        <v>388.41119894622221</v>
      </c>
      <c r="G461" s="121"/>
      <c r="H461" s="121"/>
      <c r="I461" s="121"/>
      <c r="J461" s="121"/>
    </row>
    <row r="462" spans="1:10" s="149" customFormat="1" hidden="1">
      <c r="B462" s="64" t="s">
        <v>117</v>
      </c>
      <c r="C462" s="777"/>
      <c r="D462" s="777"/>
      <c r="E462" s="777"/>
      <c r="F462" s="777">
        <f>SUM(F460:F461)</f>
        <v>705.13696512122215</v>
      </c>
      <c r="G462" s="121"/>
      <c r="H462" s="121"/>
      <c r="I462" s="121"/>
      <c r="J462" s="121"/>
    </row>
    <row r="463" spans="1:10" s="149" customFormat="1" hidden="1">
      <c r="B463" s="45"/>
      <c r="C463" s="777"/>
      <c r="D463" s="777"/>
      <c r="E463" s="16" t="s">
        <v>120</v>
      </c>
      <c r="F463" s="777">
        <f>ROUND(F462,1)</f>
        <v>705.1</v>
      </c>
      <c r="G463" s="121"/>
      <c r="H463" s="121"/>
      <c r="I463" s="121"/>
      <c r="J463" s="121"/>
    </row>
    <row r="464" spans="1:10" s="149" customFormat="1" hidden="1">
      <c r="C464" s="121"/>
      <c r="D464" s="121"/>
      <c r="E464" s="121"/>
      <c r="F464" s="121"/>
      <c r="G464" s="121"/>
      <c r="H464" s="121"/>
      <c r="I464" s="121"/>
      <c r="J464" s="121"/>
    </row>
    <row r="465" spans="1:10" s="149" customFormat="1" hidden="1">
      <c r="B465" s="3" t="s">
        <v>71</v>
      </c>
      <c r="C465" s="777"/>
      <c r="D465" s="777"/>
      <c r="E465" s="777"/>
      <c r="F465" s="777"/>
      <c r="G465" s="121"/>
      <c r="H465" s="121"/>
      <c r="I465" s="121"/>
      <c r="J465" s="121"/>
    </row>
    <row r="466" spans="1:10" s="149" customFormat="1" hidden="1">
      <c r="B466" s="61" t="s">
        <v>271</v>
      </c>
      <c r="C466" s="96">
        <v>7.0000000000000007E-2</v>
      </c>
      <c r="D466" s="16" t="s">
        <v>123</v>
      </c>
      <c r="E466" s="96">
        <f>E448</f>
        <v>4925.3158000000003</v>
      </c>
      <c r="F466" s="16">
        <f>E466*C466</f>
        <v>344.77210600000006</v>
      </c>
      <c r="G466" s="121"/>
      <c r="H466" s="121"/>
      <c r="I466" s="121"/>
      <c r="J466" s="121"/>
    </row>
    <row r="467" spans="1:10" s="149" customFormat="1" hidden="1">
      <c r="B467" s="61" t="s">
        <v>272</v>
      </c>
      <c r="C467" s="96">
        <v>1.1000000000000001</v>
      </c>
      <c r="D467" s="96" t="s">
        <v>32</v>
      </c>
      <c r="E467" s="96">
        <f>F243</f>
        <v>423.7</v>
      </c>
      <c r="F467" s="16">
        <f>E467*C467</f>
        <v>466.07000000000005</v>
      </c>
      <c r="G467" s="121"/>
      <c r="H467" s="121"/>
      <c r="I467" s="121"/>
      <c r="J467" s="121"/>
    </row>
    <row r="468" spans="1:10" s="149" customFormat="1" hidden="1">
      <c r="B468" s="64" t="s">
        <v>117</v>
      </c>
      <c r="C468" s="777"/>
      <c r="D468" s="777"/>
      <c r="E468" s="777"/>
      <c r="F468" s="777">
        <f>SUM(F466:F467)</f>
        <v>810.84210600000006</v>
      </c>
      <c r="G468" s="121"/>
      <c r="H468" s="121"/>
      <c r="I468" s="121"/>
      <c r="J468" s="121"/>
    </row>
    <row r="469" spans="1:10" s="149" customFormat="1" hidden="1">
      <c r="B469" s="45"/>
      <c r="C469" s="777"/>
      <c r="D469" s="777"/>
      <c r="E469" s="16" t="s">
        <v>120</v>
      </c>
      <c r="F469" s="777">
        <f>ROUND(F468,1)</f>
        <v>810.8</v>
      </c>
      <c r="G469" s="121"/>
      <c r="H469" s="121"/>
      <c r="I469" s="121"/>
      <c r="J469" s="121"/>
    </row>
    <row r="470" spans="1:10" s="149" customFormat="1" hidden="1">
      <c r="B470" s="45"/>
      <c r="C470" s="777"/>
      <c r="D470" s="777"/>
      <c r="E470" s="16"/>
      <c r="F470" s="777"/>
      <c r="G470" s="121"/>
      <c r="H470" s="121"/>
      <c r="I470" s="121"/>
      <c r="J470" s="121"/>
    </row>
    <row r="471" spans="1:10" s="149" customFormat="1" hidden="1">
      <c r="B471" s="3" t="s">
        <v>1050</v>
      </c>
      <c r="C471" s="777"/>
      <c r="D471" s="777"/>
      <c r="E471" s="777"/>
      <c r="F471" s="777"/>
      <c r="G471" s="121"/>
      <c r="H471" s="121"/>
      <c r="I471" s="121"/>
      <c r="J471" s="121"/>
    </row>
    <row r="472" spans="1:10" s="149" customFormat="1" hidden="1">
      <c r="B472" s="61" t="s">
        <v>271</v>
      </c>
      <c r="C472" s="96">
        <v>7.0000000000000007E-2</v>
      </c>
      <c r="D472" s="16" t="s">
        <v>123</v>
      </c>
      <c r="E472" s="96">
        <f>E454</f>
        <v>4985.5</v>
      </c>
      <c r="F472" s="16">
        <f>E472*C472</f>
        <v>348.98500000000001</v>
      </c>
      <c r="G472" s="121"/>
      <c r="H472" s="121"/>
      <c r="I472" s="121"/>
      <c r="J472" s="121"/>
    </row>
    <row r="473" spans="1:10" s="149" customFormat="1" hidden="1">
      <c r="B473" s="61" t="s">
        <v>272</v>
      </c>
      <c r="C473" s="96">
        <v>1.1000000000000001</v>
      </c>
      <c r="D473" s="96" t="s">
        <v>32</v>
      </c>
      <c r="E473" s="96">
        <f>F248</f>
        <v>508.5</v>
      </c>
      <c r="F473" s="16">
        <f>E473*C473</f>
        <v>559.35</v>
      </c>
      <c r="G473" s="121"/>
      <c r="H473" s="121"/>
      <c r="I473" s="121"/>
      <c r="J473" s="121"/>
    </row>
    <row r="474" spans="1:10" s="149" customFormat="1" hidden="1">
      <c r="B474" s="64" t="s">
        <v>117</v>
      </c>
      <c r="C474" s="777"/>
      <c r="D474" s="777"/>
      <c r="E474" s="777"/>
      <c r="F474" s="777">
        <f>SUM(F472:F473)</f>
        <v>908.33500000000004</v>
      </c>
      <c r="G474" s="121"/>
      <c r="H474" s="121"/>
      <c r="I474" s="121"/>
      <c r="J474" s="121"/>
    </row>
    <row r="475" spans="1:10" s="149" customFormat="1" hidden="1">
      <c r="B475" s="45"/>
      <c r="C475" s="777"/>
      <c r="D475" s="777"/>
      <c r="E475" s="16" t="s">
        <v>120</v>
      </c>
      <c r="F475" s="777">
        <f>ROUND(F474,1)</f>
        <v>908.3</v>
      </c>
      <c r="G475" s="121"/>
      <c r="H475" s="121"/>
      <c r="I475" s="121"/>
      <c r="J475" s="121"/>
    </row>
    <row r="476" spans="1:10" s="149" customFormat="1" hidden="1">
      <c r="C476" s="121"/>
      <c r="D476" s="121"/>
      <c r="E476" s="121"/>
      <c r="F476" s="121"/>
      <c r="G476" s="121"/>
      <c r="H476" s="121"/>
      <c r="I476" s="121"/>
      <c r="J476" s="121"/>
    </row>
    <row r="477" spans="1:10" s="149" customFormat="1" ht="51" hidden="1">
      <c r="A477" s="133">
        <v>16</v>
      </c>
      <c r="B477" s="129" t="s">
        <v>556</v>
      </c>
      <c r="C477" s="777"/>
      <c r="D477" s="777"/>
      <c r="E477" s="777"/>
      <c r="F477" s="777"/>
      <c r="G477" s="121"/>
      <c r="H477" s="121"/>
      <c r="I477" s="121"/>
      <c r="J477" s="121"/>
    </row>
    <row r="478" spans="1:10" s="149" customFormat="1" hidden="1">
      <c r="B478" s="3" t="s">
        <v>70</v>
      </c>
      <c r="C478" s="777"/>
      <c r="D478" s="777"/>
      <c r="E478" s="777"/>
      <c r="F478" s="777"/>
      <c r="G478" s="121"/>
      <c r="H478" s="121"/>
      <c r="I478" s="121"/>
      <c r="J478" s="121"/>
    </row>
    <row r="479" spans="1:10" s="149" customFormat="1" hidden="1">
      <c r="B479" s="61" t="s">
        <v>271</v>
      </c>
      <c r="C479" s="96">
        <v>1</v>
      </c>
      <c r="D479" s="16" t="s">
        <v>123</v>
      </c>
      <c r="E479" s="96">
        <f>E460</f>
        <v>4872.7040950000001</v>
      </c>
      <c r="F479" s="16">
        <f>E479*C479</f>
        <v>4872.7040950000001</v>
      </c>
      <c r="G479" s="121"/>
      <c r="H479" s="121"/>
      <c r="I479" s="121"/>
      <c r="J479" s="121"/>
    </row>
    <row r="480" spans="1:10" s="149" customFormat="1" hidden="1">
      <c r="B480" s="61" t="s">
        <v>272</v>
      </c>
      <c r="C480" s="96">
        <v>8</v>
      </c>
      <c r="D480" s="96" t="s">
        <v>32</v>
      </c>
      <c r="E480" s="96">
        <f>'[1]Revised Analysis'!F193</f>
        <v>458.05055592380955</v>
      </c>
      <c r="F480" s="16">
        <f>E480*C480</f>
        <v>3664.4044473904764</v>
      </c>
      <c r="G480" s="121"/>
      <c r="H480" s="121"/>
      <c r="I480" s="121"/>
      <c r="J480" s="121"/>
    </row>
    <row r="481" spans="2:10" s="149" customFormat="1" hidden="1">
      <c r="B481" s="15" t="s">
        <v>117</v>
      </c>
      <c r="C481" s="777"/>
      <c r="D481" s="777"/>
      <c r="E481" s="777"/>
      <c r="F481" s="777">
        <f>SUM(F479:F480)</f>
        <v>8537.1085423904769</v>
      </c>
      <c r="G481" s="121"/>
      <c r="H481" s="121"/>
      <c r="I481" s="121"/>
      <c r="J481" s="121"/>
    </row>
    <row r="482" spans="2:10" s="149" customFormat="1" hidden="1">
      <c r="B482" s="45"/>
      <c r="C482" s="777"/>
      <c r="D482" s="777"/>
      <c r="E482" s="16" t="s">
        <v>120</v>
      </c>
      <c r="F482" s="777">
        <f>ROUND(F481,1)</f>
        <v>8537.1</v>
      </c>
      <c r="G482" s="121"/>
      <c r="H482" s="121"/>
      <c r="I482" s="121"/>
      <c r="J482" s="121"/>
    </row>
    <row r="483" spans="2:10" s="149" customFormat="1" hidden="1">
      <c r="C483" s="121"/>
      <c r="D483" s="121"/>
      <c r="E483" s="121"/>
      <c r="F483" s="121"/>
      <c r="G483" s="121"/>
      <c r="H483" s="121"/>
      <c r="I483" s="121"/>
      <c r="J483" s="121"/>
    </row>
    <row r="484" spans="2:10" s="149" customFormat="1" hidden="1">
      <c r="B484" s="3" t="s">
        <v>71</v>
      </c>
      <c r="C484" s="777"/>
      <c r="D484" s="777"/>
      <c r="E484" s="777"/>
      <c r="F484" s="777"/>
      <c r="G484" s="121"/>
      <c r="H484" s="121"/>
      <c r="I484" s="121"/>
      <c r="J484" s="121"/>
    </row>
    <row r="485" spans="2:10" s="149" customFormat="1" hidden="1">
      <c r="B485" s="61" t="s">
        <v>271</v>
      </c>
      <c r="C485" s="96">
        <v>1</v>
      </c>
      <c r="D485" s="16" t="s">
        <v>123</v>
      </c>
      <c r="E485" s="96">
        <f>E466</f>
        <v>4925.3158000000003</v>
      </c>
      <c r="F485" s="16">
        <f>E485*C485</f>
        <v>4925.3158000000003</v>
      </c>
      <c r="G485" s="121"/>
      <c r="H485" s="121"/>
      <c r="I485" s="121"/>
      <c r="J485" s="121"/>
    </row>
    <row r="486" spans="2:10" s="149" customFormat="1" hidden="1">
      <c r="B486" s="61" t="s">
        <v>272</v>
      </c>
      <c r="C486" s="96">
        <v>8</v>
      </c>
      <c r="D486" s="96" t="s">
        <v>32</v>
      </c>
      <c r="E486" s="96">
        <f>F305</f>
        <v>635</v>
      </c>
      <c r="F486" s="16">
        <f>E486*C486</f>
        <v>5080</v>
      </c>
      <c r="G486" s="121"/>
      <c r="H486" s="121"/>
      <c r="I486" s="121"/>
      <c r="J486" s="121"/>
    </row>
    <row r="487" spans="2:10" s="149" customFormat="1" hidden="1">
      <c r="B487" s="64" t="s">
        <v>117</v>
      </c>
      <c r="C487" s="777"/>
      <c r="D487" s="777"/>
      <c r="E487" s="777"/>
      <c r="F487" s="777">
        <f>SUM(F485:F486)</f>
        <v>10005.3158</v>
      </c>
      <c r="G487" s="121"/>
      <c r="H487" s="121"/>
      <c r="I487" s="121"/>
      <c r="J487" s="121"/>
    </row>
    <row r="488" spans="2:10" s="149" customFormat="1" hidden="1">
      <c r="B488" s="45"/>
      <c r="C488" s="777"/>
      <c r="D488" s="777"/>
      <c r="E488" s="16" t="s">
        <v>120</v>
      </c>
      <c r="F488" s="777">
        <f>ROUND(F487,1)</f>
        <v>10005.299999999999</v>
      </c>
      <c r="G488" s="121"/>
      <c r="H488" s="121"/>
      <c r="I488" s="121"/>
      <c r="J488" s="121"/>
    </row>
    <row r="489" spans="2:10" s="149" customFormat="1" hidden="1">
      <c r="B489" s="45"/>
      <c r="C489" s="777"/>
      <c r="D489" s="777"/>
      <c r="E489" s="16"/>
      <c r="F489" s="777"/>
      <c r="G489" s="121"/>
      <c r="H489" s="121"/>
      <c r="I489" s="121"/>
      <c r="J489" s="121"/>
    </row>
    <row r="490" spans="2:10" s="149" customFormat="1" hidden="1">
      <c r="B490" s="3" t="s">
        <v>1050</v>
      </c>
      <c r="C490" s="777"/>
      <c r="D490" s="777"/>
      <c r="E490" s="777"/>
      <c r="F490" s="777"/>
      <c r="G490" s="121"/>
      <c r="H490" s="121"/>
      <c r="I490" s="121"/>
      <c r="J490" s="121"/>
    </row>
    <row r="491" spans="2:10" s="149" customFormat="1" hidden="1">
      <c r="B491" s="61" t="s">
        <v>271</v>
      </c>
      <c r="C491" s="96">
        <v>1</v>
      </c>
      <c r="D491" s="16" t="s">
        <v>123</v>
      </c>
      <c r="E491" s="96">
        <f>E472</f>
        <v>4985.5</v>
      </c>
      <c r="F491" s="16">
        <f>E491*C491</f>
        <v>4985.5</v>
      </c>
      <c r="G491" s="121"/>
      <c r="H491" s="121"/>
      <c r="I491" s="121"/>
      <c r="J491" s="121"/>
    </row>
    <row r="492" spans="2:10" s="149" customFormat="1" hidden="1">
      <c r="B492" s="61" t="s">
        <v>272</v>
      </c>
      <c r="C492" s="96">
        <v>8</v>
      </c>
      <c r="D492" s="96" t="s">
        <v>32</v>
      </c>
      <c r="E492" s="96">
        <f>F310</f>
        <v>762</v>
      </c>
      <c r="F492" s="16">
        <f>E492*C492</f>
        <v>6096</v>
      </c>
      <c r="G492" s="121"/>
      <c r="H492" s="121"/>
      <c r="I492" s="121"/>
      <c r="J492" s="121"/>
    </row>
    <row r="493" spans="2:10" s="149" customFormat="1" hidden="1">
      <c r="B493" s="64" t="s">
        <v>117</v>
      </c>
      <c r="C493" s="777"/>
      <c r="D493" s="777"/>
      <c r="E493" s="777"/>
      <c r="F493" s="777">
        <f>SUM(F491:F492)</f>
        <v>11081.5</v>
      </c>
      <c r="G493" s="121"/>
      <c r="H493" s="121"/>
      <c r="I493" s="121"/>
      <c r="J493" s="121"/>
    </row>
    <row r="494" spans="2:10" s="149" customFormat="1" hidden="1">
      <c r="B494" s="45"/>
      <c r="C494" s="777"/>
      <c r="D494" s="777"/>
      <c r="E494" s="16" t="s">
        <v>120</v>
      </c>
      <c r="F494" s="777">
        <f>ROUND(F493,1)</f>
        <v>11081.5</v>
      </c>
      <c r="G494" s="121"/>
      <c r="H494" s="121"/>
      <c r="I494" s="121"/>
      <c r="J494" s="121"/>
    </row>
    <row r="495" spans="2:10" s="149" customFormat="1" hidden="1">
      <c r="C495" s="121"/>
      <c r="D495" s="121"/>
      <c r="E495" s="121"/>
      <c r="F495" s="121"/>
      <c r="G495" s="121"/>
      <c r="H495" s="121"/>
      <c r="I495" s="121"/>
      <c r="J495" s="121"/>
    </row>
    <row r="496" spans="2:10" s="149" customFormat="1" hidden="1">
      <c r="C496" s="121"/>
      <c r="D496" s="121"/>
      <c r="E496" s="121"/>
      <c r="F496" s="121"/>
      <c r="G496" s="121"/>
      <c r="H496" s="121"/>
      <c r="I496" s="121"/>
      <c r="J496" s="121"/>
    </row>
    <row r="497" spans="1:10" s="149" customFormat="1" ht="51" hidden="1">
      <c r="A497" s="133">
        <v>17</v>
      </c>
      <c r="B497" s="129" t="s">
        <v>557</v>
      </c>
      <c r="C497" s="777"/>
      <c r="D497" s="777"/>
      <c r="E497" s="16"/>
      <c r="F497" s="777"/>
      <c r="G497" s="121"/>
      <c r="H497" s="121"/>
      <c r="I497" s="121"/>
      <c r="J497" s="121"/>
    </row>
    <row r="498" spans="1:10" s="149" customFormat="1" hidden="1">
      <c r="B498" s="3" t="s">
        <v>70</v>
      </c>
      <c r="C498" s="777"/>
      <c r="D498" s="777"/>
      <c r="E498" s="777"/>
      <c r="F498" s="777"/>
      <c r="G498" s="121"/>
      <c r="H498" s="121"/>
      <c r="I498" s="121"/>
      <c r="J498" s="121"/>
    </row>
    <row r="499" spans="1:10" s="149" customFormat="1" hidden="1">
      <c r="B499" s="61" t="s">
        <v>271</v>
      </c>
      <c r="C499" s="96">
        <v>1</v>
      </c>
      <c r="D499" s="16" t="s">
        <v>123</v>
      </c>
      <c r="E499" s="96">
        <f>F71</f>
        <v>4872.7040950000001</v>
      </c>
      <c r="F499" s="16">
        <f>E499*C499</f>
        <v>4872.7040950000001</v>
      </c>
      <c r="G499" s="121"/>
      <c r="H499" s="121"/>
      <c r="I499" s="121"/>
      <c r="J499" s="121"/>
    </row>
    <row r="500" spans="1:10" s="149" customFormat="1" hidden="1">
      <c r="B500" s="61" t="s">
        <v>272</v>
      </c>
      <c r="C500" s="96">
        <v>7</v>
      </c>
      <c r="D500" s="96" t="s">
        <v>32</v>
      </c>
      <c r="E500" s="96">
        <f>F331</f>
        <v>452</v>
      </c>
      <c r="F500" s="16">
        <f>E500*C500</f>
        <v>3164</v>
      </c>
      <c r="G500" s="121"/>
      <c r="H500" s="121"/>
      <c r="I500" s="121"/>
      <c r="J500" s="121"/>
    </row>
    <row r="501" spans="1:10" s="149" customFormat="1" hidden="1">
      <c r="B501" s="64" t="s">
        <v>117</v>
      </c>
      <c r="C501" s="777"/>
      <c r="D501" s="777"/>
      <c r="E501" s="777"/>
      <c r="F501" s="777">
        <f>SUM(F499:F500)</f>
        <v>8036.7040950000001</v>
      </c>
      <c r="G501" s="121"/>
      <c r="H501" s="121"/>
      <c r="I501" s="121"/>
      <c r="J501" s="121"/>
    </row>
    <row r="502" spans="1:10" s="149" customFormat="1" hidden="1">
      <c r="B502" s="45"/>
      <c r="C502" s="777"/>
      <c r="D502" s="777"/>
      <c r="E502" s="16" t="s">
        <v>120</v>
      </c>
      <c r="F502" s="777">
        <f>ROUND(F501,1)</f>
        <v>8036.7</v>
      </c>
      <c r="G502" s="121"/>
      <c r="H502" s="121"/>
      <c r="I502" s="121"/>
      <c r="J502" s="121"/>
    </row>
    <row r="503" spans="1:10" s="149" customFormat="1" hidden="1">
      <c r="B503" s="45"/>
      <c r="C503" s="777"/>
      <c r="D503" s="777"/>
      <c r="E503" s="16"/>
      <c r="F503" s="777"/>
      <c r="G503" s="121"/>
      <c r="H503" s="121"/>
      <c r="I503" s="121"/>
      <c r="J503" s="121"/>
    </row>
    <row r="504" spans="1:10" s="149" customFormat="1" hidden="1">
      <c r="B504" s="3" t="s">
        <v>71</v>
      </c>
      <c r="C504" s="777"/>
      <c r="D504" s="777"/>
      <c r="E504" s="777"/>
      <c r="F504" s="777"/>
      <c r="G504" s="121"/>
      <c r="H504" s="121"/>
      <c r="I504" s="121"/>
      <c r="J504" s="121"/>
    </row>
    <row r="505" spans="1:10" s="149" customFormat="1" hidden="1">
      <c r="B505" s="61" t="s">
        <v>271</v>
      </c>
      <c r="C505" s="96">
        <v>1</v>
      </c>
      <c r="D505" s="16" t="s">
        <v>123</v>
      </c>
      <c r="E505" s="96">
        <f>E485</f>
        <v>4925.3158000000003</v>
      </c>
      <c r="F505" s="16">
        <f>E505*C505</f>
        <v>4925.3158000000003</v>
      </c>
      <c r="G505" s="121"/>
      <c r="H505" s="121"/>
      <c r="I505" s="121"/>
      <c r="J505" s="121"/>
    </row>
    <row r="506" spans="1:10" s="149" customFormat="1" hidden="1">
      <c r="B506" s="61" t="s">
        <v>272</v>
      </c>
      <c r="C506" s="96">
        <v>7</v>
      </c>
      <c r="D506" s="96" t="s">
        <v>32</v>
      </c>
      <c r="E506" s="96">
        <f>F336</f>
        <v>542.4</v>
      </c>
      <c r="F506" s="16">
        <f>E506*C506</f>
        <v>3796.7999999999997</v>
      </c>
      <c r="G506" s="121"/>
      <c r="H506" s="121"/>
      <c r="I506" s="121"/>
      <c r="J506" s="121"/>
    </row>
    <row r="507" spans="1:10" s="149" customFormat="1" hidden="1">
      <c r="B507" s="64" t="s">
        <v>117</v>
      </c>
      <c r="C507" s="777"/>
      <c r="D507" s="777"/>
      <c r="E507" s="777"/>
      <c r="F507" s="777">
        <f>SUM(F505:F506)</f>
        <v>8722.1157999999996</v>
      </c>
      <c r="G507" s="121"/>
      <c r="H507" s="121"/>
      <c r="I507" s="121"/>
      <c r="J507" s="121"/>
    </row>
    <row r="508" spans="1:10" s="149" customFormat="1" hidden="1">
      <c r="B508" s="45"/>
      <c r="C508" s="777"/>
      <c r="D508" s="777"/>
      <c r="E508" s="16" t="s">
        <v>120</v>
      </c>
      <c r="F508" s="777">
        <f>ROUND(F507,1)</f>
        <v>8722.1</v>
      </c>
      <c r="G508" s="121"/>
      <c r="H508" s="121"/>
      <c r="I508" s="121"/>
      <c r="J508" s="121"/>
    </row>
    <row r="509" spans="1:10" s="149" customFormat="1" hidden="1">
      <c r="B509" s="45"/>
      <c r="C509" s="777"/>
      <c r="D509" s="777"/>
      <c r="E509" s="16"/>
      <c r="F509" s="777"/>
      <c r="G509" s="121"/>
      <c r="H509" s="121"/>
      <c r="I509" s="121"/>
      <c r="J509" s="121"/>
    </row>
    <row r="510" spans="1:10" s="149" customFormat="1" hidden="1">
      <c r="B510" s="3" t="s">
        <v>1050</v>
      </c>
      <c r="C510" s="777"/>
      <c r="D510" s="777"/>
      <c r="E510" s="777"/>
      <c r="F510" s="777"/>
      <c r="G510" s="121"/>
      <c r="H510" s="121"/>
      <c r="I510" s="121"/>
      <c r="J510" s="121"/>
    </row>
    <row r="511" spans="1:10" s="149" customFormat="1" hidden="1">
      <c r="B511" s="61" t="s">
        <v>271</v>
      </c>
      <c r="C511" s="96">
        <v>1</v>
      </c>
      <c r="D511" s="16" t="s">
        <v>123</v>
      </c>
      <c r="E511" s="96">
        <f>E491</f>
        <v>4985.5</v>
      </c>
      <c r="F511" s="16">
        <f>E511*C511</f>
        <v>4985.5</v>
      </c>
      <c r="G511" s="121"/>
      <c r="H511" s="121"/>
      <c r="I511" s="121"/>
      <c r="J511" s="121"/>
    </row>
    <row r="512" spans="1:10" s="149" customFormat="1" hidden="1">
      <c r="B512" s="61" t="s">
        <v>272</v>
      </c>
      <c r="C512" s="96">
        <v>7</v>
      </c>
      <c r="D512" s="96" t="s">
        <v>32</v>
      </c>
      <c r="E512" s="96">
        <f>F341</f>
        <v>650.9</v>
      </c>
      <c r="F512" s="16">
        <f>E512*C512</f>
        <v>4556.3</v>
      </c>
      <c r="G512" s="121"/>
      <c r="H512" s="121"/>
      <c r="I512" s="121"/>
      <c r="J512" s="121"/>
    </row>
    <row r="513" spans="1:10" s="149" customFormat="1" hidden="1">
      <c r="B513" s="64" t="s">
        <v>117</v>
      </c>
      <c r="C513" s="777"/>
      <c r="D513" s="777"/>
      <c r="E513" s="777"/>
      <c r="F513" s="777">
        <f>SUM(F511:F512)</f>
        <v>9541.7999999999993</v>
      </c>
      <c r="G513" s="121"/>
      <c r="H513" s="121"/>
      <c r="I513" s="121"/>
      <c r="J513" s="121"/>
    </row>
    <row r="514" spans="1:10" s="149" customFormat="1" hidden="1">
      <c r="B514" s="45"/>
      <c r="C514" s="777"/>
      <c r="D514" s="777"/>
      <c r="E514" s="16" t="s">
        <v>120</v>
      </c>
      <c r="F514" s="777">
        <f>ROUND(F513,1)</f>
        <v>9541.7999999999993</v>
      </c>
      <c r="G514" s="121"/>
      <c r="H514" s="121"/>
      <c r="I514" s="121"/>
      <c r="J514" s="121"/>
    </row>
    <row r="515" spans="1:10" s="149" customFormat="1" hidden="1">
      <c r="B515" s="45"/>
      <c r="C515" s="777"/>
      <c r="D515" s="777"/>
      <c r="E515" s="16"/>
      <c r="F515" s="777"/>
      <c r="G515" s="121"/>
      <c r="H515" s="121"/>
      <c r="I515" s="121"/>
      <c r="J515" s="121"/>
    </row>
    <row r="516" spans="1:10" s="149" customFormat="1" ht="51" hidden="1">
      <c r="A516" s="121">
        <v>18</v>
      </c>
      <c r="B516" s="129" t="s">
        <v>1207</v>
      </c>
      <c r="C516" s="777"/>
      <c r="D516" s="777"/>
      <c r="E516" s="16"/>
      <c r="F516" s="777"/>
      <c r="G516" s="121"/>
      <c r="H516" s="121"/>
      <c r="I516" s="121"/>
      <c r="J516" s="121"/>
    </row>
    <row r="517" spans="1:10" s="149" customFormat="1" hidden="1">
      <c r="B517" s="129" t="s">
        <v>70</v>
      </c>
      <c r="C517" s="777"/>
      <c r="D517" s="777"/>
      <c r="E517" s="777"/>
      <c r="F517" s="777"/>
      <c r="G517" s="121"/>
      <c r="H517" s="121"/>
      <c r="I517" s="121"/>
      <c r="J517" s="121"/>
    </row>
    <row r="518" spans="1:10" s="149" customFormat="1" hidden="1">
      <c r="B518" s="61" t="s">
        <v>271</v>
      </c>
      <c r="C518" s="134">
        <v>6.5000000000000002E-2</v>
      </c>
      <c r="D518" s="16" t="s">
        <v>123</v>
      </c>
      <c r="E518" s="96">
        <f>E479</f>
        <v>4872.7040950000001</v>
      </c>
      <c r="F518" s="16">
        <f>E518*C518</f>
        <v>316.72576617499999</v>
      </c>
      <c r="G518" s="121"/>
      <c r="H518" s="121"/>
      <c r="I518" s="121"/>
      <c r="J518" s="121"/>
    </row>
    <row r="519" spans="1:10" s="149" customFormat="1" hidden="1">
      <c r="B519" s="61" t="s">
        <v>272</v>
      </c>
      <c r="C519" s="96">
        <v>1</v>
      </c>
      <c r="D519" s="96" t="s">
        <v>32</v>
      </c>
      <c r="E519" s="96">
        <f>F238</f>
        <v>353.1</v>
      </c>
      <c r="F519" s="16">
        <f>E519*C519</f>
        <v>353.1</v>
      </c>
      <c r="G519" s="121"/>
      <c r="H519" s="121"/>
      <c r="I519" s="121"/>
      <c r="J519" s="121"/>
    </row>
    <row r="520" spans="1:10" s="149" customFormat="1" hidden="1">
      <c r="B520" s="64" t="s">
        <v>117</v>
      </c>
      <c r="C520" s="777"/>
      <c r="D520" s="777"/>
      <c r="E520" s="777"/>
      <c r="F520" s="788">
        <f>SUM(F518:F519)</f>
        <v>669.82576617500001</v>
      </c>
      <c r="G520" s="121"/>
      <c r="H520" s="121"/>
      <c r="I520" s="121"/>
      <c r="J520" s="121"/>
    </row>
    <row r="521" spans="1:10" s="149" customFormat="1" hidden="1">
      <c r="B521" s="45"/>
      <c r="C521" s="777"/>
      <c r="D521" s="777"/>
      <c r="E521" s="16" t="s">
        <v>120</v>
      </c>
      <c r="F521" s="777">
        <f>ROUND(F520,1)</f>
        <v>669.8</v>
      </c>
      <c r="G521" s="121"/>
      <c r="H521" s="121"/>
      <c r="I521" s="121"/>
      <c r="J521" s="121"/>
    </row>
    <row r="522" spans="1:10" s="149" customFormat="1" hidden="1">
      <c r="B522" s="45"/>
      <c r="C522" s="777"/>
      <c r="D522" s="777"/>
      <c r="E522" s="16"/>
      <c r="F522" s="777"/>
      <c r="G522" s="121"/>
      <c r="H522" s="121"/>
      <c r="I522" s="121"/>
      <c r="J522" s="121"/>
    </row>
    <row r="523" spans="1:10" s="149" customFormat="1" hidden="1">
      <c r="B523" s="3" t="s">
        <v>71</v>
      </c>
      <c r="C523" s="777"/>
      <c r="D523" s="777"/>
      <c r="E523" s="777"/>
      <c r="F523" s="777"/>
      <c r="G523" s="121"/>
      <c r="H523" s="121"/>
      <c r="I523" s="121"/>
      <c r="J523" s="121"/>
    </row>
    <row r="524" spans="1:10" s="149" customFormat="1" hidden="1">
      <c r="B524" s="61" t="s">
        <v>271</v>
      </c>
      <c r="C524" s="134">
        <v>6.5000000000000002E-2</v>
      </c>
      <c r="D524" s="16" t="s">
        <v>123</v>
      </c>
      <c r="E524" s="96">
        <f>E505</f>
        <v>4925.3158000000003</v>
      </c>
      <c r="F524" s="16">
        <f>E524*C524</f>
        <v>320.14552700000002</v>
      </c>
      <c r="G524" s="121"/>
      <c r="H524" s="121"/>
      <c r="I524" s="121"/>
      <c r="J524" s="121"/>
    </row>
    <row r="525" spans="1:10" s="149" customFormat="1" hidden="1">
      <c r="B525" s="61" t="s">
        <v>272</v>
      </c>
      <c r="C525" s="96">
        <v>1</v>
      </c>
      <c r="D525" s="96" t="s">
        <v>32</v>
      </c>
      <c r="E525" s="96">
        <f>F243</f>
        <v>423.7</v>
      </c>
      <c r="F525" s="16">
        <f>E525*C525</f>
        <v>423.7</v>
      </c>
      <c r="G525" s="121"/>
      <c r="H525" s="121"/>
      <c r="I525" s="121"/>
      <c r="J525" s="121"/>
    </row>
    <row r="526" spans="1:10" s="149" customFormat="1" hidden="1">
      <c r="B526" s="64" t="s">
        <v>117</v>
      </c>
      <c r="C526" s="777"/>
      <c r="D526" s="777"/>
      <c r="E526" s="777"/>
      <c r="F526" s="788">
        <f>SUM(F524:F525)</f>
        <v>743.84552699999995</v>
      </c>
      <c r="G526" s="121"/>
      <c r="H526" s="121"/>
      <c r="I526" s="121"/>
      <c r="J526" s="121"/>
    </row>
    <row r="527" spans="1:10" s="149" customFormat="1" hidden="1">
      <c r="B527" s="45"/>
      <c r="C527" s="777"/>
      <c r="D527" s="777"/>
      <c r="E527" s="16"/>
      <c r="F527" s="777"/>
      <c r="G527" s="121"/>
      <c r="H527" s="121"/>
      <c r="I527" s="121"/>
      <c r="J527" s="121"/>
    </row>
    <row r="528" spans="1:10" s="149" customFormat="1" hidden="1">
      <c r="B528" s="3" t="s">
        <v>267</v>
      </c>
      <c r="C528" s="777"/>
      <c r="D528" s="777"/>
      <c r="E528" s="777"/>
      <c r="F528" s="777"/>
      <c r="G528" s="121"/>
      <c r="H528" s="121"/>
      <c r="I528" s="121"/>
      <c r="J528" s="121"/>
    </row>
    <row r="529" spans="1:10" s="149" customFormat="1" hidden="1">
      <c r="B529" s="61" t="s">
        <v>271</v>
      </c>
      <c r="C529" s="134">
        <v>6.5000000000000002E-2</v>
      </c>
      <c r="D529" s="16" t="s">
        <v>123</v>
      </c>
      <c r="E529" s="96">
        <f>E511</f>
        <v>4985.5</v>
      </c>
      <c r="F529" s="16">
        <f>E529*C529</f>
        <v>324.0575</v>
      </c>
      <c r="G529" s="121"/>
      <c r="H529" s="121"/>
      <c r="I529" s="121"/>
      <c r="J529" s="121"/>
    </row>
    <row r="530" spans="1:10" s="149" customFormat="1" hidden="1">
      <c r="B530" s="61" t="s">
        <v>272</v>
      </c>
      <c r="C530" s="96">
        <v>1</v>
      </c>
      <c r="D530" s="96" t="s">
        <v>32</v>
      </c>
      <c r="E530" s="96">
        <f>F248</f>
        <v>508.5</v>
      </c>
      <c r="F530" s="16">
        <f>E530*C530</f>
        <v>508.5</v>
      </c>
      <c r="G530" s="121"/>
      <c r="H530" s="121"/>
      <c r="I530" s="121"/>
      <c r="J530" s="121"/>
    </row>
    <row r="531" spans="1:10" s="149" customFormat="1" hidden="1">
      <c r="B531" s="64" t="s">
        <v>117</v>
      </c>
      <c r="C531" s="777"/>
      <c r="D531" s="777"/>
      <c r="E531" s="777"/>
      <c r="F531" s="788">
        <f>SUM(F529:F530)</f>
        <v>832.5575</v>
      </c>
      <c r="G531" s="121"/>
      <c r="H531" s="121"/>
      <c r="I531" s="121"/>
      <c r="J531" s="121"/>
    </row>
    <row r="532" spans="1:10" s="149" customFormat="1" hidden="1">
      <c r="B532" s="45"/>
      <c r="C532" s="777"/>
      <c r="D532" s="777"/>
      <c r="E532" s="16"/>
      <c r="F532" s="777"/>
      <c r="G532" s="121"/>
      <c r="H532" s="121"/>
      <c r="I532" s="121"/>
      <c r="J532" s="121"/>
    </row>
    <row r="533" spans="1:10" s="149" customFormat="1" hidden="1">
      <c r="B533" s="45"/>
      <c r="C533" s="777"/>
      <c r="D533" s="777"/>
      <c r="E533" s="16"/>
      <c r="F533" s="777"/>
      <c r="G533" s="121"/>
      <c r="H533" s="121"/>
      <c r="I533" s="121"/>
      <c r="J533" s="121"/>
    </row>
    <row r="534" spans="1:10" s="20" customFormat="1" ht="63.75" hidden="1">
      <c r="A534" s="5">
        <v>15</v>
      </c>
      <c r="B534" s="99" t="s">
        <v>289</v>
      </c>
      <c r="C534" s="96" t="s">
        <v>161</v>
      </c>
      <c r="D534" s="96"/>
      <c r="E534" s="96"/>
      <c r="F534" s="16"/>
      <c r="G534" s="4"/>
      <c r="H534" s="4"/>
    </row>
    <row r="535" spans="1:10" s="20" customFormat="1" hidden="1">
      <c r="A535" s="5"/>
      <c r="B535" s="15" t="s">
        <v>290</v>
      </c>
      <c r="C535" s="777"/>
      <c r="D535" s="777"/>
      <c r="E535" s="777"/>
      <c r="F535" s="777"/>
      <c r="G535" s="4"/>
      <c r="H535" s="4"/>
    </row>
    <row r="536" spans="1:10" s="20" customFormat="1" hidden="1">
      <c r="A536" s="5" t="s">
        <v>37</v>
      </c>
      <c r="B536" s="15" t="s">
        <v>70</v>
      </c>
      <c r="C536" s="777"/>
      <c r="D536" s="777"/>
      <c r="E536" s="777"/>
      <c r="F536" s="777"/>
      <c r="G536" s="4"/>
      <c r="H536" s="4"/>
    </row>
    <row r="537" spans="1:10" s="20" customFormat="1" hidden="1">
      <c r="A537" s="5"/>
      <c r="B537" s="99" t="s">
        <v>131</v>
      </c>
      <c r="C537" s="777"/>
      <c r="D537" s="777"/>
      <c r="E537" s="777"/>
      <c r="F537" s="777"/>
      <c r="G537" s="4"/>
      <c r="H537" s="4"/>
    </row>
    <row r="538" spans="1:10" s="20" customFormat="1" hidden="1">
      <c r="A538" s="5"/>
      <c r="B538" s="15" t="s">
        <v>84</v>
      </c>
      <c r="C538" s="96">
        <v>0.22800000000000001</v>
      </c>
      <c r="D538" s="96" t="s">
        <v>123</v>
      </c>
      <c r="E538" s="96">
        <v>18823</v>
      </c>
      <c r="F538" s="96">
        <f>E538*C538</f>
        <v>4291.6440000000002</v>
      </c>
      <c r="G538" s="4"/>
      <c r="H538" s="4"/>
    </row>
    <row r="539" spans="1:10" s="20" customFormat="1" hidden="1">
      <c r="A539" s="5"/>
      <c r="B539" s="15" t="s">
        <v>40</v>
      </c>
      <c r="C539" s="96">
        <v>3.9E-2</v>
      </c>
      <c r="D539" s="96" t="s">
        <v>130</v>
      </c>
      <c r="E539" s="96">
        <f>E538</f>
        <v>18823</v>
      </c>
      <c r="F539" s="96">
        <f>E539*C539</f>
        <v>734.09699999999998</v>
      </c>
      <c r="G539" s="4"/>
      <c r="H539" s="4"/>
    </row>
    <row r="540" spans="1:10" s="20" customFormat="1" hidden="1">
      <c r="A540" s="5"/>
      <c r="B540" s="15" t="s">
        <v>85</v>
      </c>
      <c r="C540" s="96">
        <v>6.5</v>
      </c>
      <c r="D540" s="96" t="s">
        <v>86</v>
      </c>
      <c r="E540" s="96">
        <v>75</v>
      </c>
      <c r="F540" s="96">
        <f>E540*C540</f>
        <v>487.5</v>
      </c>
      <c r="G540" s="4"/>
      <c r="H540" s="4"/>
    </row>
    <row r="541" spans="1:10" s="20" customFormat="1" hidden="1">
      <c r="A541" s="5"/>
      <c r="B541" s="15" t="s">
        <v>42</v>
      </c>
      <c r="C541" s="96">
        <v>0.35</v>
      </c>
      <c r="D541" s="96" t="s">
        <v>43</v>
      </c>
      <c r="E541" s="96">
        <f>E319</f>
        <v>169</v>
      </c>
      <c r="F541" s="96">
        <f>E541*C541</f>
        <v>59.15</v>
      </c>
      <c r="G541" s="4"/>
      <c r="H541" s="4"/>
    </row>
    <row r="542" spans="1:10" s="20" customFormat="1" hidden="1">
      <c r="A542" s="5"/>
      <c r="B542" s="15" t="s">
        <v>117</v>
      </c>
      <c r="C542" s="16"/>
      <c r="D542" s="16"/>
      <c r="E542" s="16"/>
      <c r="F542" s="96">
        <f>SUM(F538:F541)</f>
        <v>5572.3909999999996</v>
      </c>
      <c r="G542" s="4"/>
      <c r="H542" s="4"/>
    </row>
    <row r="543" spans="1:10" s="20" customFormat="1" hidden="1">
      <c r="A543" s="5"/>
      <c r="B543" s="15" t="s">
        <v>175</v>
      </c>
      <c r="C543" s="16"/>
      <c r="D543" s="16"/>
      <c r="E543" s="16"/>
      <c r="F543" s="96">
        <f>F542/10</f>
        <v>557.23910000000001</v>
      </c>
      <c r="G543" s="4"/>
      <c r="H543" s="4"/>
    </row>
    <row r="544" spans="1:10" s="20" customFormat="1" hidden="1">
      <c r="A544" s="5"/>
      <c r="B544" s="61" t="s">
        <v>137</v>
      </c>
      <c r="C544" s="777"/>
      <c r="D544" s="777"/>
      <c r="E544" s="777"/>
      <c r="F544" s="777"/>
      <c r="G544" s="4"/>
      <c r="H544" s="4"/>
    </row>
    <row r="545" spans="1:8" s="20" customFormat="1" hidden="1">
      <c r="A545" s="5"/>
      <c r="B545" s="61" t="s">
        <v>44</v>
      </c>
      <c r="C545" s="96">
        <v>2.75</v>
      </c>
      <c r="D545" s="96" t="s">
        <v>114</v>
      </c>
      <c r="E545" s="96">
        <v>190</v>
      </c>
      <c r="F545" s="96">
        <f>E545*C545</f>
        <v>522.5</v>
      </c>
      <c r="G545" s="4"/>
      <c r="H545" s="4"/>
    </row>
    <row r="546" spans="1:8" s="20" customFormat="1" hidden="1">
      <c r="A546" s="5"/>
      <c r="B546" s="61" t="s">
        <v>154</v>
      </c>
      <c r="C546" s="96">
        <v>2.75</v>
      </c>
      <c r="D546" s="96" t="s">
        <v>114</v>
      </c>
      <c r="E546" s="96">
        <v>170</v>
      </c>
      <c r="F546" s="96">
        <f>E546*C546</f>
        <v>467.5</v>
      </c>
      <c r="G546" s="4"/>
      <c r="H546" s="4"/>
    </row>
    <row r="547" spans="1:8" s="20" customFormat="1" hidden="1">
      <c r="A547" s="5"/>
      <c r="B547" s="3" t="s">
        <v>322</v>
      </c>
      <c r="C547" s="16"/>
      <c r="D547" s="96" t="s">
        <v>116</v>
      </c>
      <c r="E547" s="96">
        <f>SUM(F543:F546)</f>
        <v>1547.2391</v>
      </c>
      <c r="F547" s="96">
        <f>E547*0.075</f>
        <v>116.04293249999999</v>
      </c>
      <c r="G547" s="4"/>
      <c r="H547" s="4"/>
    </row>
    <row r="548" spans="1:8" s="20" customFormat="1" hidden="1">
      <c r="A548" s="5"/>
      <c r="B548" s="63" t="s">
        <v>323</v>
      </c>
      <c r="C548" s="16"/>
      <c r="D548" s="96" t="s">
        <v>116</v>
      </c>
      <c r="E548" s="96">
        <f>SUM(F543:F546)</f>
        <v>1547.2391</v>
      </c>
      <c r="F548" s="96">
        <f>E548*0.075</f>
        <v>116.04293249999999</v>
      </c>
      <c r="G548" s="4"/>
      <c r="H548" s="4"/>
    </row>
    <row r="549" spans="1:8" s="20" customFormat="1" hidden="1">
      <c r="A549" s="5"/>
      <c r="B549" s="15" t="s">
        <v>117</v>
      </c>
      <c r="C549" s="16"/>
      <c r="D549" s="16"/>
      <c r="E549" s="16"/>
      <c r="F549" s="96">
        <f>SUM(F543:F548)</f>
        <v>1779.324965</v>
      </c>
      <c r="G549" s="4"/>
      <c r="H549" s="4"/>
    </row>
    <row r="550" spans="1:8" s="20" customFormat="1" hidden="1">
      <c r="A550" s="5"/>
      <c r="B550" s="15" t="s">
        <v>60</v>
      </c>
      <c r="C550" s="16"/>
      <c r="D550" s="16"/>
      <c r="E550" s="16"/>
      <c r="F550" s="96">
        <f>F549/5</f>
        <v>355.86499300000003</v>
      </c>
      <c r="G550" s="4"/>
      <c r="H550" s="4"/>
    </row>
    <row r="551" spans="1:8" s="20" customFormat="1" hidden="1">
      <c r="A551" s="5"/>
      <c r="B551" s="45"/>
      <c r="C551" s="777"/>
      <c r="D551" s="777"/>
      <c r="E551" s="777" t="s">
        <v>120</v>
      </c>
      <c r="F551" s="777">
        <f>ROUND(F550,1)</f>
        <v>355.9</v>
      </c>
      <c r="G551" s="4"/>
      <c r="H551" s="4"/>
    </row>
    <row r="552" spans="1:8" s="20" customFormat="1" hidden="1">
      <c r="A552" s="5" t="s">
        <v>38</v>
      </c>
      <c r="B552" s="15" t="s">
        <v>71</v>
      </c>
      <c r="C552" s="777"/>
      <c r="D552" s="96" t="s">
        <v>161</v>
      </c>
      <c r="E552" s="777"/>
      <c r="F552" s="777"/>
      <c r="G552" s="4"/>
      <c r="H552" s="4"/>
    </row>
    <row r="553" spans="1:8" s="20" customFormat="1" hidden="1">
      <c r="A553" s="5"/>
      <c r="B553" s="15" t="s">
        <v>157</v>
      </c>
      <c r="C553" s="16"/>
      <c r="D553" s="16"/>
      <c r="E553" s="16"/>
      <c r="F553" s="16">
        <f>F550</f>
        <v>355.86499300000003</v>
      </c>
      <c r="G553" s="4"/>
      <c r="H553" s="4"/>
    </row>
    <row r="554" spans="1:8" s="20" customFormat="1" hidden="1">
      <c r="A554" s="5"/>
      <c r="B554" s="15" t="s">
        <v>277</v>
      </c>
      <c r="C554" s="96"/>
      <c r="D554" s="96" t="s">
        <v>116</v>
      </c>
      <c r="E554" s="96">
        <f>F550</f>
        <v>355.86499300000003</v>
      </c>
      <c r="F554" s="96">
        <f>E554*0.2</f>
        <v>71.172998600000014</v>
      </c>
      <c r="G554" s="4"/>
      <c r="H554" s="4"/>
    </row>
    <row r="555" spans="1:8" s="20" customFormat="1" hidden="1">
      <c r="A555" s="5"/>
      <c r="B555" s="15" t="s">
        <v>117</v>
      </c>
      <c r="C555" s="96"/>
      <c r="D555" s="96"/>
      <c r="E555" s="96"/>
      <c r="F555" s="96">
        <f>SUM(F553:F554)</f>
        <v>427.03799160000005</v>
      </c>
      <c r="G555" s="4"/>
      <c r="H555" s="4"/>
    </row>
    <row r="556" spans="1:8" s="20" customFormat="1" hidden="1">
      <c r="A556" s="5"/>
      <c r="B556" s="45"/>
      <c r="C556" s="777"/>
      <c r="D556" s="777"/>
      <c r="E556" s="777" t="s">
        <v>120</v>
      </c>
      <c r="F556" s="777">
        <f>ROUND(F555,1)</f>
        <v>427</v>
      </c>
      <c r="G556" s="4"/>
      <c r="H556" s="4"/>
    </row>
    <row r="557" spans="1:8" s="20" customFormat="1" hidden="1">
      <c r="A557" s="5" t="s">
        <v>39</v>
      </c>
      <c r="B557" s="64" t="s">
        <v>267</v>
      </c>
      <c r="C557" s="777"/>
      <c r="D557" s="96" t="s">
        <v>161</v>
      </c>
      <c r="E557" s="777"/>
      <c r="F557" s="777"/>
      <c r="G557" s="4"/>
      <c r="H557" s="4"/>
    </row>
    <row r="558" spans="1:8" s="20" customFormat="1" hidden="1">
      <c r="A558" s="5"/>
      <c r="B558" s="15" t="s">
        <v>278</v>
      </c>
      <c r="C558" s="16"/>
      <c r="D558" s="16"/>
      <c r="E558" s="16"/>
      <c r="F558" s="16">
        <f>F555</f>
        <v>427.03799160000005</v>
      </c>
      <c r="G558" s="4"/>
      <c r="H558" s="4"/>
    </row>
    <row r="559" spans="1:8" s="20" customFormat="1" hidden="1">
      <c r="A559" s="5"/>
      <c r="B559" s="15" t="s">
        <v>279</v>
      </c>
      <c r="C559" s="96"/>
      <c r="D559" s="96" t="s">
        <v>116</v>
      </c>
      <c r="E559" s="96">
        <f>F555</f>
        <v>427.03799160000005</v>
      </c>
      <c r="F559" s="96">
        <f>E559*0.2</f>
        <v>85.407598320000019</v>
      </c>
      <c r="G559" s="4"/>
      <c r="H559" s="4"/>
    </row>
    <row r="560" spans="1:8" s="20" customFormat="1" hidden="1">
      <c r="A560" s="5"/>
      <c r="B560" s="15" t="s">
        <v>117</v>
      </c>
      <c r="C560" s="96"/>
      <c r="D560" s="96"/>
      <c r="E560" s="96"/>
      <c r="F560" s="96">
        <f>SUM(F558:F559)</f>
        <v>512.44558992000009</v>
      </c>
      <c r="G560" s="4"/>
      <c r="H560" s="4"/>
    </row>
    <row r="561" spans="1:11" s="20" customFormat="1" hidden="1">
      <c r="A561" s="5"/>
      <c r="B561" s="45"/>
      <c r="C561" s="777"/>
      <c r="D561" s="777"/>
      <c r="E561" s="777" t="s">
        <v>120</v>
      </c>
      <c r="F561" s="777">
        <f>ROUND(F560,1)</f>
        <v>512.4</v>
      </c>
      <c r="G561" s="4"/>
      <c r="H561" s="4"/>
    </row>
    <row r="562" spans="1:11" s="149" customFormat="1" hidden="1">
      <c r="B562" s="45"/>
      <c r="C562" s="777"/>
      <c r="D562" s="777"/>
      <c r="E562" s="16"/>
      <c r="F562" s="777"/>
      <c r="G562" s="121"/>
      <c r="H562" s="121"/>
      <c r="I562" s="121"/>
      <c r="J562" s="121"/>
    </row>
    <row r="563" spans="1:11" s="149" customFormat="1" hidden="1">
      <c r="B563" s="45"/>
      <c r="C563" s="777"/>
      <c r="D563" s="777"/>
      <c r="E563" s="16"/>
      <c r="F563" s="777"/>
      <c r="G563" s="121"/>
      <c r="H563" s="121"/>
      <c r="I563" s="121"/>
      <c r="J563" s="121"/>
    </row>
    <row r="564" spans="1:11" s="149" customFormat="1" ht="63.75" hidden="1">
      <c r="A564" s="133">
        <v>19</v>
      </c>
      <c r="B564" s="99" t="s">
        <v>176</v>
      </c>
      <c r="C564" s="789"/>
      <c r="D564" s="789"/>
      <c r="E564" s="790"/>
      <c r="F564" s="791"/>
      <c r="G564" s="791"/>
      <c r="H564" s="792"/>
      <c r="I564" s="383"/>
      <c r="J564" s="383"/>
      <c r="K564" s="384"/>
    </row>
    <row r="565" spans="1:11" s="149" customFormat="1" ht="15" hidden="1">
      <c r="B565" s="385" t="s">
        <v>519</v>
      </c>
      <c r="C565" s="791"/>
      <c r="D565" s="791"/>
      <c r="E565" s="793"/>
      <c r="F565" s="791"/>
      <c r="G565" s="791"/>
      <c r="H565" s="791"/>
      <c r="I565" s="382"/>
      <c r="J565" s="382"/>
      <c r="K565" s="384"/>
    </row>
    <row r="566" spans="1:11" s="149" customFormat="1" ht="15" hidden="1">
      <c r="B566" s="365" t="s">
        <v>502</v>
      </c>
      <c r="C566" s="138"/>
      <c r="D566" s="138"/>
      <c r="E566" s="138"/>
      <c r="F566" s="138"/>
      <c r="G566" s="138"/>
      <c r="H566" s="791"/>
      <c r="I566" s="382"/>
      <c r="J566" s="382"/>
      <c r="K566" s="384"/>
    </row>
    <row r="567" spans="1:11" s="149" customFormat="1" ht="29.25" hidden="1" customHeight="1">
      <c r="B567" s="60" t="s">
        <v>520</v>
      </c>
      <c r="C567" s="138">
        <v>1.05</v>
      </c>
      <c r="D567" s="794" t="s">
        <v>521</v>
      </c>
      <c r="E567" s="96">
        <f>Lead!E31*10</f>
        <v>42000</v>
      </c>
      <c r="F567" s="138">
        <f>C567*E567</f>
        <v>44100</v>
      </c>
      <c r="G567" s="138"/>
      <c r="H567" s="795"/>
      <c r="I567" s="121"/>
      <c r="J567" s="121"/>
    </row>
    <row r="568" spans="1:11" s="149" customFormat="1" ht="14.25" hidden="1">
      <c r="B568" s="61" t="s">
        <v>0</v>
      </c>
      <c r="C568" s="138">
        <v>8</v>
      </c>
      <c r="D568" s="138" t="s">
        <v>18</v>
      </c>
      <c r="E568" s="138">
        <v>78</v>
      </c>
      <c r="F568" s="138">
        <f>C568*E568</f>
        <v>624</v>
      </c>
      <c r="G568" s="138"/>
      <c r="H568" s="795"/>
      <c r="I568" s="121"/>
      <c r="J568" s="121"/>
    </row>
    <row r="569" spans="1:11" s="149" customFormat="1" ht="15" hidden="1">
      <c r="B569" s="365" t="s">
        <v>505</v>
      </c>
      <c r="C569" s="138"/>
      <c r="D569" s="138"/>
      <c r="E569" s="138"/>
      <c r="F569" s="138"/>
      <c r="G569" s="138"/>
      <c r="H569" s="791"/>
      <c r="I569" s="121"/>
      <c r="J569" s="121"/>
    </row>
    <row r="570" spans="1:11" s="149" customFormat="1" ht="14.25" hidden="1">
      <c r="B570" s="61" t="s">
        <v>26</v>
      </c>
      <c r="C570" s="138">
        <v>0.44</v>
      </c>
      <c r="D570" s="138" t="s">
        <v>506</v>
      </c>
      <c r="E570" s="96">
        <f>Lead!E54</f>
        <v>220</v>
      </c>
      <c r="F570" s="138">
        <f>C570*E570</f>
        <v>96.8</v>
      </c>
      <c r="G570" s="138"/>
      <c r="H570" s="795"/>
      <c r="I570" s="121"/>
      <c r="J570" s="121"/>
    </row>
    <row r="571" spans="1:11" s="149" customFormat="1" ht="14.25" hidden="1">
      <c r="B571" s="61" t="s">
        <v>522</v>
      </c>
      <c r="C571" s="138">
        <v>3</v>
      </c>
      <c r="D571" s="138" t="s">
        <v>506</v>
      </c>
      <c r="E571" s="96">
        <f>Lead!E67</f>
        <v>260</v>
      </c>
      <c r="F571" s="138">
        <f>C571*E571</f>
        <v>780</v>
      </c>
      <c r="G571" s="138"/>
      <c r="H571" s="795"/>
      <c r="I571" s="121"/>
      <c r="J571" s="121"/>
    </row>
    <row r="572" spans="1:11" s="149" customFormat="1" ht="14.25" hidden="1">
      <c r="B572" s="61" t="s">
        <v>507</v>
      </c>
      <c r="C572" s="138">
        <v>8</v>
      </c>
      <c r="D572" s="138" t="s">
        <v>506</v>
      </c>
      <c r="E572" s="96">
        <f>Lead!E47</f>
        <v>200</v>
      </c>
      <c r="F572" s="138">
        <f>C572*E572</f>
        <v>1600</v>
      </c>
      <c r="G572" s="138"/>
      <c r="H572" s="795"/>
      <c r="I572" s="121"/>
      <c r="J572" s="121"/>
    </row>
    <row r="573" spans="1:11" s="149" customFormat="1" ht="14.25" hidden="1">
      <c r="B573" s="61"/>
      <c r="C573" s="138"/>
      <c r="D573" s="138"/>
      <c r="E573" s="138"/>
      <c r="F573" s="796">
        <f>SUM(F567:F572)</f>
        <v>47200.800000000003</v>
      </c>
      <c r="G573" s="138"/>
      <c r="H573" s="795"/>
      <c r="I573" s="121"/>
      <c r="J573" s="121"/>
    </row>
    <row r="574" spans="1:11" s="149" customFormat="1" ht="14.25" hidden="1">
      <c r="B574" s="61" t="s">
        <v>512</v>
      </c>
      <c r="C574" s="138"/>
      <c r="D574" s="138"/>
      <c r="E574" s="138"/>
      <c r="F574" s="96">
        <f>F573*7.5%</f>
        <v>3540.06</v>
      </c>
      <c r="G574" s="138"/>
      <c r="H574" s="792"/>
      <c r="I574" s="121"/>
      <c r="J574" s="121"/>
    </row>
    <row r="575" spans="1:11" s="149" customFormat="1" ht="14.25" hidden="1">
      <c r="B575" s="61" t="s">
        <v>498</v>
      </c>
      <c r="C575" s="138"/>
      <c r="D575" s="138"/>
      <c r="E575" s="138"/>
      <c r="F575" s="96">
        <f>F573*7.5%</f>
        <v>3540.06</v>
      </c>
      <c r="G575" s="138"/>
      <c r="H575" s="792"/>
      <c r="I575" s="121"/>
      <c r="J575" s="121"/>
    </row>
    <row r="576" spans="1:11" s="149" customFormat="1" ht="14.25" hidden="1">
      <c r="B576" s="61"/>
      <c r="C576" s="138"/>
      <c r="D576" s="138"/>
      <c r="E576" s="138"/>
      <c r="F576" s="96">
        <f>SUM(F573:F575)</f>
        <v>54280.92</v>
      </c>
      <c r="G576" s="138" t="s">
        <v>523</v>
      </c>
      <c r="H576" s="792"/>
      <c r="I576" s="121"/>
      <c r="J576" s="121"/>
    </row>
    <row r="577" spans="1:10" s="149" customFormat="1" ht="15" hidden="1">
      <c r="B577" s="61" t="s">
        <v>524</v>
      </c>
      <c r="C577" s="138"/>
      <c r="D577" s="138"/>
      <c r="E577" s="138"/>
      <c r="F577" s="96">
        <f>F576/10</f>
        <v>5428.0919999999996</v>
      </c>
      <c r="G577" s="138" t="s">
        <v>525</v>
      </c>
      <c r="H577" s="791"/>
      <c r="I577" s="121"/>
      <c r="J577" s="121"/>
    </row>
    <row r="578" spans="1:10" s="149" customFormat="1" ht="14.25" hidden="1">
      <c r="B578" s="61" t="s">
        <v>526</v>
      </c>
      <c r="C578" s="138">
        <v>1.05</v>
      </c>
      <c r="D578" s="138" t="s">
        <v>127</v>
      </c>
      <c r="E578" s="138">
        <f>Lead!J31/10</f>
        <v>1.69</v>
      </c>
      <c r="F578" s="138">
        <f>C578*E578</f>
        <v>1.7745</v>
      </c>
      <c r="G578" s="138"/>
      <c r="H578" s="795"/>
      <c r="I578" s="121"/>
      <c r="J578" s="121"/>
    </row>
    <row r="579" spans="1:10" s="149" customFormat="1" ht="14.25" hidden="1">
      <c r="B579" s="384"/>
      <c r="C579" s="792"/>
      <c r="D579" s="792"/>
      <c r="E579" s="792"/>
      <c r="F579" s="96">
        <f>SUM(F577:F578)</f>
        <v>5429.8665000000001</v>
      </c>
      <c r="G579" s="138" t="s">
        <v>527</v>
      </c>
      <c r="H579" s="795"/>
      <c r="I579" s="121"/>
      <c r="J579" s="121"/>
    </row>
    <row r="580" spans="1:10" s="149" customFormat="1" ht="15" hidden="1">
      <c r="B580" s="386" t="s">
        <v>515</v>
      </c>
      <c r="C580" s="792"/>
      <c r="D580" s="792"/>
      <c r="E580" s="792"/>
      <c r="F580" s="96">
        <f>F579*1%</f>
        <v>54.298665</v>
      </c>
      <c r="G580" s="138"/>
      <c r="H580" s="792"/>
      <c r="I580" s="121"/>
      <c r="J580" s="121"/>
    </row>
    <row r="581" spans="1:10" s="149" customFormat="1" ht="14.25" hidden="1">
      <c r="B581" s="384"/>
      <c r="C581" s="792"/>
      <c r="D581" s="792"/>
      <c r="E581" s="792"/>
      <c r="F581" s="96">
        <f>F579+F580</f>
        <v>5484.1651650000003</v>
      </c>
      <c r="G581" s="138" t="s">
        <v>527</v>
      </c>
      <c r="H581" s="795"/>
      <c r="I581" s="121"/>
      <c r="J581" s="121"/>
    </row>
    <row r="582" spans="1:10" s="149" customFormat="1" ht="15" hidden="1">
      <c r="B582" s="384"/>
      <c r="C582" s="792"/>
      <c r="D582" s="792"/>
      <c r="E582" s="792"/>
      <c r="F582" s="777">
        <f>ROUND(F581,1)</f>
        <v>5484.2</v>
      </c>
      <c r="G582" s="138" t="s">
        <v>527</v>
      </c>
      <c r="H582" s="797"/>
      <c r="I582" s="121"/>
      <c r="J582" s="121"/>
    </row>
    <row r="583" spans="1:10" s="20" customFormat="1" hidden="1">
      <c r="A583" s="5" t="s">
        <v>38</v>
      </c>
      <c r="B583" s="64" t="s">
        <v>71</v>
      </c>
      <c r="C583" s="798"/>
      <c r="D583" s="798"/>
      <c r="E583" s="798"/>
      <c r="F583" s="798"/>
      <c r="G583" s="4"/>
      <c r="H583" s="4"/>
    </row>
    <row r="584" spans="1:10" s="20" customFormat="1" hidden="1">
      <c r="A584" s="5"/>
      <c r="B584" s="19" t="s">
        <v>333</v>
      </c>
      <c r="C584" s="57"/>
      <c r="D584" s="57"/>
      <c r="E584" s="57"/>
      <c r="F584" s="57">
        <f>F581</f>
        <v>5484.1651650000003</v>
      </c>
      <c r="G584" s="4"/>
      <c r="H584" s="4"/>
    </row>
    <row r="585" spans="1:10" s="20" customFormat="1" hidden="1">
      <c r="A585" s="5"/>
      <c r="B585" s="62" t="s">
        <v>280</v>
      </c>
      <c r="C585" s="57"/>
      <c r="D585" s="4"/>
      <c r="E585" s="57">
        <f>((F570+F571+F572)+(F570+F571+F572)*0.15)/10</f>
        <v>284.83199999999999</v>
      </c>
      <c r="F585" s="57">
        <f>E585*0.05</f>
        <v>14.2416</v>
      </c>
      <c r="G585" s="4"/>
      <c r="H585" s="4"/>
    </row>
    <row r="586" spans="1:10" s="20" customFormat="1" hidden="1">
      <c r="A586" s="5"/>
      <c r="B586" s="19" t="s">
        <v>117</v>
      </c>
      <c r="C586" s="57"/>
      <c r="D586" s="57"/>
      <c r="E586" s="57"/>
      <c r="F586" s="57">
        <f>SUM(F584:F585)</f>
        <v>5498.4067650000006</v>
      </c>
      <c r="G586" s="4"/>
      <c r="H586" s="4"/>
    </row>
    <row r="587" spans="1:10" s="20" customFormat="1" hidden="1">
      <c r="A587" s="5"/>
      <c r="B587" s="45"/>
      <c r="C587" s="798"/>
      <c r="D587" s="798"/>
      <c r="E587" s="798" t="s">
        <v>120</v>
      </c>
      <c r="F587" s="798">
        <f>ROUND(F586,1)</f>
        <v>5498.4</v>
      </c>
      <c r="G587" s="4"/>
      <c r="H587" s="4"/>
    </row>
    <row r="588" spans="1:10" s="20" customFormat="1" hidden="1">
      <c r="A588" s="4" t="s">
        <v>39</v>
      </c>
      <c r="B588" s="19" t="s">
        <v>267</v>
      </c>
      <c r="C588" s="16"/>
      <c r="D588" s="16"/>
      <c r="E588" s="16"/>
      <c r="F588" s="16"/>
      <c r="G588" s="4"/>
      <c r="H588" s="4"/>
    </row>
    <row r="589" spans="1:10" s="20" customFormat="1" hidden="1">
      <c r="A589" s="4"/>
      <c r="B589" s="19" t="s">
        <v>278</v>
      </c>
      <c r="C589" s="16"/>
      <c r="D589" s="16"/>
      <c r="E589" s="16"/>
      <c r="F589" s="16">
        <f>F586</f>
        <v>5498.4067650000006</v>
      </c>
      <c r="G589" s="4"/>
      <c r="H589" s="4"/>
    </row>
    <row r="590" spans="1:10" s="20" customFormat="1" hidden="1">
      <c r="A590" s="4"/>
      <c r="B590" s="62" t="s">
        <v>282</v>
      </c>
      <c r="C590" s="16"/>
      <c r="D590" s="16"/>
      <c r="E590" s="16">
        <f>E585+F585</f>
        <v>299.0736</v>
      </c>
      <c r="F590" s="16">
        <f>E590*0.03</f>
        <v>8.9722080000000002</v>
      </c>
      <c r="G590" s="4"/>
      <c r="H590" s="4"/>
    </row>
    <row r="591" spans="1:10" s="20" customFormat="1" hidden="1">
      <c r="A591" s="4"/>
      <c r="B591" s="63" t="s">
        <v>117</v>
      </c>
      <c r="C591" s="16"/>
      <c r="D591" s="16"/>
      <c r="E591" s="16"/>
      <c r="F591" s="16">
        <f>SUM(F589:F590)</f>
        <v>5507.3789730000008</v>
      </c>
      <c r="G591" s="4"/>
      <c r="H591" s="4"/>
    </row>
    <row r="592" spans="1:10" s="20" customFormat="1" hidden="1">
      <c r="A592" s="4"/>
      <c r="B592" s="45"/>
      <c r="C592" s="777"/>
      <c r="D592" s="777"/>
      <c r="E592" s="777" t="s">
        <v>120</v>
      </c>
      <c r="F592" s="777">
        <f>ROUND(F591,1)</f>
        <v>5507.4</v>
      </c>
      <c r="G592" s="16"/>
      <c r="H592" s="4"/>
    </row>
    <row r="593" spans="1:10" s="149" customFormat="1" ht="15" hidden="1">
      <c r="B593" s="384"/>
      <c r="C593" s="792"/>
      <c r="D593" s="792"/>
      <c r="E593" s="792"/>
      <c r="F593" s="787"/>
      <c r="G593" s="138"/>
      <c r="H593" s="797"/>
      <c r="I593" s="121"/>
      <c r="J593" s="121"/>
    </row>
    <row r="594" spans="1:10" s="149" customFormat="1" hidden="1">
      <c r="C594" s="121"/>
      <c r="D594" s="121"/>
      <c r="E594" s="121"/>
      <c r="F594" s="121"/>
      <c r="G594" s="121"/>
      <c r="H594" s="121"/>
      <c r="I594" s="121"/>
    </row>
    <row r="595" spans="1:10" s="149" customFormat="1" hidden="1">
      <c r="C595" s="121"/>
      <c r="D595" s="121"/>
      <c r="E595" s="121"/>
      <c r="F595" s="120"/>
      <c r="G595" s="121"/>
      <c r="H595" s="121"/>
      <c r="I595" s="121"/>
      <c r="J595" s="121"/>
    </row>
    <row r="596" spans="1:10" s="149" customFormat="1" ht="38.25" hidden="1">
      <c r="A596" s="133">
        <v>20</v>
      </c>
      <c r="B596" s="99" t="s">
        <v>901</v>
      </c>
      <c r="C596" s="96" t="s">
        <v>165</v>
      </c>
      <c r="D596" s="96"/>
      <c r="E596" s="96"/>
      <c r="F596" s="16"/>
      <c r="G596" s="121"/>
      <c r="H596" s="121"/>
      <c r="I596" s="121"/>
      <c r="J596" s="121"/>
    </row>
    <row r="597" spans="1:10" s="149" customFormat="1" hidden="1">
      <c r="B597" s="15" t="s">
        <v>70</v>
      </c>
      <c r="C597" s="16"/>
      <c r="D597" s="96"/>
      <c r="E597" s="16"/>
      <c r="F597" s="16"/>
      <c r="G597" s="121"/>
      <c r="H597" s="121"/>
      <c r="I597" s="121"/>
      <c r="J597" s="121"/>
    </row>
    <row r="598" spans="1:10" s="149" customFormat="1" hidden="1">
      <c r="B598" s="99" t="s">
        <v>150</v>
      </c>
      <c r="C598" s="16"/>
      <c r="D598" s="16"/>
      <c r="E598" s="16"/>
      <c r="F598" s="16"/>
      <c r="G598" s="121"/>
      <c r="H598" s="121"/>
      <c r="I598" s="121"/>
      <c r="J598" s="121"/>
    </row>
    <row r="599" spans="1:10" s="149" customFormat="1" hidden="1">
      <c r="B599" s="15" t="s">
        <v>151</v>
      </c>
      <c r="C599" s="799">
        <v>7.4999999999999997E-3</v>
      </c>
      <c r="D599" s="96" t="s">
        <v>123</v>
      </c>
      <c r="E599" s="96">
        <f>Lead!E20</f>
        <v>55</v>
      </c>
      <c r="F599" s="96">
        <f>E599*C599</f>
        <v>0.41249999999999998</v>
      </c>
      <c r="G599" s="121"/>
      <c r="H599" s="121"/>
      <c r="I599" s="121"/>
      <c r="J599" s="121"/>
    </row>
    <row r="600" spans="1:10" s="149" customFormat="1" hidden="1">
      <c r="B600" s="15" t="s">
        <v>33</v>
      </c>
      <c r="C600" s="799">
        <v>3.7199999999999997E-2</v>
      </c>
      <c r="D600" s="96" t="s">
        <v>127</v>
      </c>
      <c r="E600" s="96">
        <f>Lead!E29</f>
        <v>650</v>
      </c>
      <c r="F600" s="96">
        <f>E600*C600</f>
        <v>24.18</v>
      </c>
      <c r="G600" s="121"/>
      <c r="H600" s="121"/>
      <c r="I600" s="121"/>
      <c r="J600" s="121"/>
    </row>
    <row r="601" spans="1:10" s="149" customFormat="1" hidden="1">
      <c r="B601" s="99" t="s">
        <v>152</v>
      </c>
      <c r="C601" s="16"/>
      <c r="D601" s="16"/>
      <c r="E601" s="16"/>
      <c r="F601" s="96"/>
      <c r="G601" s="121"/>
      <c r="H601" s="121"/>
      <c r="I601" s="121"/>
      <c r="J601" s="121"/>
    </row>
    <row r="602" spans="1:10" s="149" customFormat="1" ht="25.5" hidden="1">
      <c r="B602" s="15" t="s">
        <v>169</v>
      </c>
      <c r="C602" s="96" t="s">
        <v>166</v>
      </c>
      <c r="D602" s="96" t="s">
        <v>114</v>
      </c>
      <c r="E602" s="96">
        <f>Lead!E47</f>
        <v>200</v>
      </c>
      <c r="F602" s="96">
        <f>E602*C602</f>
        <v>4</v>
      </c>
      <c r="G602" s="121"/>
      <c r="H602" s="121"/>
      <c r="I602" s="121"/>
      <c r="J602" s="121"/>
    </row>
    <row r="603" spans="1:10" s="149" customFormat="1" hidden="1">
      <c r="B603" s="15" t="s">
        <v>153</v>
      </c>
      <c r="C603" s="96">
        <v>0.14000000000000001</v>
      </c>
      <c r="D603" s="96" t="s">
        <v>114</v>
      </c>
      <c r="E603" s="96">
        <f>Lead!E58</f>
        <v>240</v>
      </c>
      <c r="F603" s="96">
        <f>E603*C603</f>
        <v>33.6</v>
      </c>
      <c r="G603" s="121"/>
      <c r="H603" s="121"/>
      <c r="I603" s="121"/>
      <c r="J603" s="121"/>
    </row>
    <row r="604" spans="1:10" s="149" customFormat="1" hidden="1">
      <c r="B604" s="15" t="s">
        <v>113</v>
      </c>
      <c r="C604" s="96">
        <v>0.05</v>
      </c>
      <c r="D604" s="96" t="s">
        <v>114</v>
      </c>
      <c r="E604" s="96">
        <f>Lead!E47</f>
        <v>200</v>
      </c>
      <c r="F604" s="96">
        <f>E604*C604</f>
        <v>10</v>
      </c>
      <c r="G604" s="121"/>
      <c r="H604" s="121"/>
      <c r="I604" s="121"/>
      <c r="J604" s="121"/>
    </row>
    <row r="605" spans="1:10" s="149" customFormat="1" hidden="1">
      <c r="B605" s="15" t="s">
        <v>115</v>
      </c>
      <c r="C605" s="96">
        <v>0.05</v>
      </c>
      <c r="D605" s="96" t="s">
        <v>114</v>
      </c>
      <c r="E605" s="96">
        <f>Lead!E48</f>
        <v>200</v>
      </c>
      <c r="F605" s="96">
        <f>E605*C605</f>
        <v>10</v>
      </c>
      <c r="G605" s="121"/>
      <c r="H605" s="121"/>
      <c r="I605" s="121"/>
      <c r="J605" s="121"/>
    </row>
    <row r="606" spans="1:10" s="149" customFormat="1" hidden="1">
      <c r="B606" s="3" t="s">
        <v>1</v>
      </c>
      <c r="C606" s="4">
        <v>0.05</v>
      </c>
      <c r="D606" s="96" t="s">
        <v>114</v>
      </c>
      <c r="E606" s="96">
        <f>Lead!E47</f>
        <v>200</v>
      </c>
      <c r="F606" s="96">
        <f>E606*C606</f>
        <v>10</v>
      </c>
      <c r="G606" s="121"/>
      <c r="H606" s="121"/>
      <c r="I606" s="121"/>
      <c r="J606" s="121"/>
    </row>
    <row r="607" spans="1:10" s="149" customFormat="1" hidden="1">
      <c r="B607" s="15" t="s">
        <v>322</v>
      </c>
      <c r="C607" s="16"/>
      <c r="D607" s="96" t="s">
        <v>116</v>
      </c>
      <c r="E607" s="96">
        <f>F599+F600+F602+F603+F604+F606+F605</f>
        <v>92.192499999999995</v>
      </c>
      <c r="F607" s="96">
        <f>E607*0.075</f>
        <v>6.9144374999999991</v>
      </c>
      <c r="G607" s="121"/>
      <c r="H607" s="121"/>
      <c r="I607" s="121"/>
      <c r="J607" s="121"/>
    </row>
    <row r="608" spans="1:10" s="149" customFormat="1" hidden="1">
      <c r="B608" s="15" t="s">
        <v>323</v>
      </c>
      <c r="C608" s="16"/>
      <c r="D608" s="96" t="s">
        <v>116</v>
      </c>
      <c r="E608" s="96">
        <f>F599+F600+F602+F603+F604+F605+F606</f>
        <v>92.192499999999995</v>
      </c>
      <c r="F608" s="96">
        <f>E608*0.075</f>
        <v>6.9144374999999991</v>
      </c>
      <c r="G608" s="121"/>
      <c r="H608" s="121"/>
      <c r="I608" s="121"/>
      <c r="J608" s="121"/>
    </row>
    <row r="609" spans="1:10" s="149" customFormat="1" hidden="1">
      <c r="B609" s="99" t="s">
        <v>124</v>
      </c>
      <c r="C609" s="16"/>
      <c r="D609" s="16"/>
      <c r="E609" s="16"/>
      <c r="F609" s="16"/>
      <c r="G609" s="121"/>
      <c r="H609" s="121"/>
      <c r="I609" s="121"/>
      <c r="J609" s="121"/>
    </row>
    <row r="610" spans="1:10" s="149" customFormat="1" hidden="1">
      <c r="B610" s="15" t="s">
        <v>151</v>
      </c>
      <c r="C610" s="799">
        <v>7.4999999999999997E-3</v>
      </c>
      <c r="D610" s="96" t="s">
        <v>123</v>
      </c>
      <c r="E610" s="96">
        <f>Lead!J20</f>
        <v>196.4</v>
      </c>
      <c r="F610" s="96">
        <f>E610*C610</f>
        <v>1.4730000000000001</v>
      </c>
      <c r="G610" s="121"/>
      <c r="H610" s="121"/>
      <c r="I610" s="121"/>
      <c r="J610" s="121"/>
    </row>
    <row r="611" spans="1:10" s="149" customFormat="1" hidden="1">
      <c r="B611" s="15" t="s">
        <v>33</v>
      </c>
      <c r="C611" s="799">
        <v>3.7199999999999997E-2</v>
      </c>
      <c r="D611" s="96" t="s">
        <v>127</v>
      </c>
      <c r="E611" s="96">
        <f>Lead!J29</f>
        <v>16.899999999999999</v>
      </c>
      <c r="F611" s="96">
        <f>E611*C611</f>
        <v>0.62867999999999991</v>
      </c>
      <c r="G611" s="121"/>
      <c r="H611" s="121"/>
      <c r="I611" s="121"/>
      <c r="J611" s="121"/>
    </row>
    <row r="612" spans="1:10" s="149" customFormat="1" hidden="1">
      <c r="B612" s="63" t="s">
        <v>117</v>
      </c>
      <c r="C612" s="777"/>
      <c r="D612" s="16"/>
      <c r="E612" s="16"/>
      <c r="F612" s="16">
        <f>SUM(F599:F611)</f>
        <v>108.12305500000001</v>
      </c>
      <c r="G612" s="121"/>
      <c r="H612" s="121"/>
      <c r="I612" s="121"/>
      <c r="J612" s="121"/>
    </row>
    <row r="613" spans="1:10" s="149" customFormat="1" hidden="1">
      <c r="B613" s="15" t="s">
        <v>429</v>
      </c>
      <c r="C613" s="16"/>
      <c r="D613" s="16"/>
      <c r="E613" s="16"/>
      <c r="F613" s="96">
        <f>F612*1%</f>
        <v>1.0812305500000001</v>
      </c>
      <c r="G613" s="121"/>
      <c r="H613" s="121"/>
      <c r="I613" s="121"/>
      <c r="J613" s="121"/>
    </row>
    <row r="614" spans="1:10" s="149" customFormat="1" hidden="1">
      <c r="B614" s="15"/>
      <c r="C614" s="16"/>
      <c r="D614" s="16"/>
      <c r="E614" s="16"/>
      <c r="F614" s="778">
        <f>SUM(F612:F613)</f>
        <v>109.20428555000001</v>
      </c>
      <c r="G614" s="121"/>
      <c r="H614" s="121"/>
      <c r="I614" s="121"/>
      <c r="J614" s="121"/>
    </row>
    <row r="615" spans="1:10" s="149" customFormat="1" hidden="1">
      <c r="B615" s="45"/>
      <c r="C615" s="777"/>
      <c r="D615" s="777"/>
      <c r="E615" s="777" t="s">
        <v>120</v>
      </c>
      <c r="F615" s="777">
        <f>ROUND(F614,1)</f>
        <v>109.2</v>
      </c>
      <c r="G615" s="121"/>
      <c r="H615" s="121"/>
      <c r="I615" s="121"/>
      <c r="J615" s="121"/>
    </row>
    <row r="616" spans="1:10" s="20" customFormat="1" hidden="1">
      <c r="A616" s="98" t="s">
        <v>38</v>
      </c>
      <c r="B616" s="15" t="s">
        <v>71</v>
      </c>
      <c r="C616" s="777"/>
      <c r="D616" s="96" t="s">
        <v>165</v>
      </c>
      <c r="E616" s="777"/>
      <c r="F616" s="777"/>
      <c r="G616" s="4"/>
      <c r="H616" s="4"/>
    </row>
    <row r="617" spans="1:10" s="20" customFormat="1" hidden="1">
      <c r="A617" s="5"/>
      <c r="B617" s="61" t="s">
        <v>159</v>
      </c>
      <c r="C617" s="777"/>
      <c r="D617" s="777"/>
      <c r="E617" s="777"/>
      <c r="F617" s="96">
        <f>F614</f>
        <v>109.20428555000001</v>
      </c>
      <c r="G617" s="4"/>
      <c r="H617" s="4"/>
    </row>
    <row r="618" spans="1:10" s="20" customFormat="1" hidden="1">
      <c r="A618" s="5"/>
      <c r="B618" s="62" t="s">
        <v>281</v>
      </c>
      <c r="C618" s="4"/>
      <c r="D618" s="16"/>
      <c r="E618" s="96">
        <f>(F602+F603+F604+F605+F606)+(F602+F603+F604+F605+F606)*0.15</f>
        <v>77.739999999999995</v>
      </c>
      <c r="F618" s="96">
        <f>E618*0.03</f>
        <v>2.3321999999999998</v>
      </c>
      <c r="G618" s="4"/>
      <c r="H618" s="4"/>
    </row>
    <row r="619" spans="1:10" s="20" customFormat="1" hidden="1">
      <c r="A619" s="5"/>
      <c r="B619" s="63" t="s">
        <v>117</v>
      </c>
      <c r="C619" s="777"/>
      <c r="D619" s="777"/>
      <c r="E619" s="777"/>
      <c r="F619" s="96">
        <f>SUM(F617:F618)</f>
        <v>111.53648555000001</v>
      </c>
      <c r="G619" s="4"/>
      <c r="H619" s="4"/>
    </row>
    <row r="620" spans="1:10" s="20" customFormat="1" hidden="1">
      <c r="A620" s="5"/>
      <c r="B620" s="45"/>
      <c r="C620" s="777"/>
      <c r="D620" s="777"/>
      <c r="E620" s="777" t="s">
        <v>120</v>
      </c>
      <c r="F620" s="777">
        <f>ROUND(F619,1)</f>
        <v>111.5</v>
      </c>
      <c r="G620" s="4"/>
      <c r="H620" s="4"/>
    </row>
    <row r="621" spans="1:10" s="20" customFormat="1" hidden="1">
      <c r="A621" s="5" t="s">
        <v>39</v>
      </c>
      <c r="B621" s="64" t="s">
        <v>267</v>
      </c>
      <c r="C621" s="777"/>
      <c r="D621" s="777"/>
      <c r="E621" s="777"/>
      <c r="F621" s="777"/>
      <c r="G621" s="4"/>
      <c r="H621" s="4"/>
    </row>
    <row r="622" spans="1:10" s="20" customFormat="1" hidden="1">
      <c r="A622" s="5"/>
      <c r="B622" s="61" t="s">
        <v>283</v>
      </c>
      <c r="C622" s="777"/>
      <c r="D622" s="777"/>
      <c r="E622" s="777"/>
      <c r="F622" s="96">
        <f>F619</f>
        <v>111.53648555000001</v>
      </c>
      <c r="G622" s="4"/>
      <c r="H622" s="4"/>
    </row>
    <row r="623" spans="1:10" s="20" customFormat="1" hidden="1">
      <c r="A623" s="5"/>
      <c r="B623" s="62" t="s">
        <v>282</v>
      </c>
      <c r="C623" s="777"/>
      <c r="D623" s="777"/>
      <c r="E623" s="96">
        <f>E618+F618</f>
        <v>80.072199999999995</v>
      </c>
      <c r="F623" s="96">
        <f>E623*0.03</f>
        <v>2.4021659999999998</v>
      </c>
      <c r="G623" s="4"/>
      <c r="H623" s="4"/>
    </row>
    <row r="624" spans="1:10" s="20" customFormat="1" hidden="1">
      <c r="A624" s="5"/>
      <c r="B624" s="63" t="s">
        <v>117</v>
      </c>
      <c r="C624" s="777"/>
      <c r="D624" s="777"/>
      <c r="E624" s="777"/>
      <c r="F624" s="96">
        <f>SUM(F622:F623)</f>
        <v>113.93865155</v>
      </c>
      <c r="G624" s="4"/>
      <c r="H624" s="4"/>
    </row>
    <row r="625" spans="1:10" s="20" customFormat="1" hidden="1">
      <c r="A625" s="5"/>
      <c r="B625" s="45"/>
      <c r="C625" s="777"/>
      <c r="D625" s="777"/>
      <c r="E625" s="777" t="s">
        <v>120</v>
      </c>
      <c r="F625" s="777">
        <f>ROUND(F624,1)</f>
        <v>113.9</v>
      </c>
      <c r="G625" s="4"/>
      <c r="H625" s="4"/>
    </row>
    <row r="626" spans="1:10" s="149" customFormat="1" hidden="1">
      <c r="B626" s="45"/>
      <c r="C626" s="777"/>
      <c r="D626" s="777"/>
      <c r="E626" s="777"/>
      <c r="F626" s="777"/>
      <c r="G626" s="121"/>
      <c r="H626" s="121"/>
      <c r="I626" s="121"/>
      <c r="J626" s="121"/>
    </row>
    <row r="627" spans="1:10" s="149" customFormat="1" hidden="1">
      <c r="A627" s="133">
        <v>21</v>
      </c>
      <c r="B627" s="99" t="s">
        <v>900</v>
      </c>
      <c r="C627" s="96" t="s">
        <v>165</v>
      </c>
      <c r="D627" s="96"/>
      <c r="E627" s="96"/>
      <c r="F627" s="16"/>
      <c r="G627" s="121"/>
      <c r="H627" s="121"/>
      <c r="I627" s="121"/>
      <c r="J627" s="121"/>
    </row>
    <row r="628" spans="1:10" s="149" customFormat="1" hidden="1">
      <c r="B628" s="15" t="s">
        <v>70</v>
      </c>
      <c r="C628" s="16"/>
      <c r="D628" s="96"/>
      <c r="E628" s="16"/>
      <c r="F628" s="16"/>
      <c r="G628" s="121"/>
      <c r="H628" s="121"/>
      <c r="I628" s="121"/>
      <c r="J628" s="121"/>
    </row>
    <row r="629" spans="1:10" s="149" customFormat="1" hidden="1">
      <c r="B629" s="99" t="s">
        <v>150</v>
      </c>
      <c r="C629" s="16"/>
      <c r="D629" s="16"/>
      <c r="E629" s="16"/>
      <c r="F629" s="16"/>
      <c r="G629" s="121"/>
      <c r="H629" s="121"/>
      <c r="I629" s="121"/>
      <c r="J629" s="121"/>
    </row>
    <row r="630" spans="1:10" s="149" customFormat="1" hidden="1">
      <c r="B630" s="15" t="s">
        <v>151</v>
      </c>
      <c r="C630" s="134">
        <v>1.4999999999999999E-2</v>
      </c>
      <c r="D630" s="96" t="s">
        <v>123</v>
      </c>
      <c r="E630" s="96">
        <f>Lead!E20</f>
        <v>55</v>
      </c>
      <c r="F630" s="96">
        <f>E630*C630</f>
        <v>0.82499999999999996</v>
      </c>
      <c r="G630" s="121"/>
      <c r="H630" s="121"/>
      <c r="I630" s="121"/>
      <c r="J630" s="121"/>
    </row>
    <row r="631" spans="1:10" s="149" customFormat="1" hidden="1">
      <c r="B631" s="15" t="s">
        <v>33</v>
      </c>
      <c r="C631" s="799">
        <v>3.5799999999999998E-2</v>
      </c>
      <c r="D631" s="96" t="s">
        <v>127</v>
      </c>
      <c r="E631" s="96">
        <f>Lead!E29</f>
        <v>650</v>
      </c>
      <c r="F631" s="96">
        <f>E631*C631</f>
        <v>23.27</v>
      </c>
      <c r="G631" s="121"/>
      <c r="H631" s="121"/>
      <c r="I631" s="121"/>
      <c r="J631" s="121"/>
    </row>
    <row r="632" spans="1:10" s="149" customFormat="1" hidden="1">
      <c r="B632" s="99" t="s">
        <v>152</v>
      </c>
      <c r="C632" s="16"/>
      <c r="D632" s="16"/>
      <c r="E632" s="16"/>
      <c r="F632" s="96"/>
      <c r="G632" s="121"/>
      <c r="H632" s="121"/>
      <c r="I632" s="121"/>
      <c r="J632" s="121"/>
    </row>
    <row r="633" spans="1:10" s="149" customFormat="1" ht="25.5" hidden="1">
      <c r="B633" s="15" t="s">
        <v>169</v>
      </c>
      <c r="C633" s="96" t="s">
        <v>166</v>
      </c>
      <c r="D633" s="96" t="s">
        <v>114</v>
      </c>
      <c r="E633" s="96">
        <f>Lead!E47</f>
        <v>200</v>
      </c>
      <c r="F633" s="96">
        <f>E633*C633</f>
        <v>4</v>
      </c>
      <c r="G633" s="121"/>
      <c r="H633" s="121"/>
      <c r="I633" s="121"/>
      <c r="J633" s="121"/>
    </row>
    <row r="634" spans="1:10" s="149" customFormat="1" hidden="1">
      <c r="B634" s="15" t="s">
        <v>153</v>
      </c>
      <c r="C634" s="96" t="s">
        <v>170</v>
      </c>
      <c r="D634" s="96" t="s">
        <v>114</v>
      </c>
      <c r="E634" s="96">
        <f>Lead!E58</f>
        <v>240</v>
      </c>
      <c r="F634" s="96">
        <f>E634*C634</f>
        <v>38.4</v>
      </c>
      <c r="G634" s="121"/>
      <c r="H634" s="121"/>
      <c r="I634" s="121"/>
      <c r="J634" s="121"/>
    </row>
    <row r="635" spans="1:10" s="149" customFormat="1" hidden="1">
      <c r="B635" s="15" t="s">
        <v>113</v>
      </c>
      <c r="C635" s="96" t="s">
        <v>164</v>
      </c>
      <c r="D635" s="96" t="s">
        <v>114</v>
      </c>
      <c r="E635" s="96">
        <f>Lead!E47</f>
        <v>200</v>
      </c>
      <c r="F635" s="96">
        <f>E635*C635</f>
        <v>22</v>
      </c>
      <c r="G635" s="121"/>
      <c r="H635" s="121"/>
      <c r="I635" s="121"/>
      <c r="J635" s="121"/>
    </row>
    <row r="636" spans="1:10" s="149" customFormat="1" hidden="1">
      <c r="B636" s="15" t="s">
        <v>115</v>
      </c>
      <c r="C636" s="96" t="s">
        <v>164</v>
      </c>
      <c r="D636" s="96" t="s">
        <v>114</v>
      </c>
      <c r="E636" s="96">
        <f>Lead!E48</f>
        <v>200</v>
      </c>
      <c r="F636" s="96">
        <f>E636*C636</f>
        <v>22</v>
      </c>
      <c r="G636" s="121"/>
      <c r="H636" s="121"/>
      <c r="I636" s="121"/>
      <c r="J636" s="121"/>
    </row>
    <row r="637" spans="1:10" s="149" customFormat="1" hidden="1">
      <c r="B637" s="15" t="s">
        <v>322</v>
      </c>
      <c r="C637" s="16"/>
      <c r="D637" s="96" t="s">
        <v>116</v>
      </c>
      <c r="E637" s="96">
        <f>SUM(F630:F636)</f>
        <v>110.495</v>
      </c>
      <c r="F637" s="96">
        <f>E637*0.075</f>
        <v>8.2871249999999996</v>
      </c>
      <c r="G637" s="121"/>
      <c r="H637" s="121"/>
      <c r="I637" s="121"/>
      <c r="J637" s="121"/>
    </row>
    <row r="638" spans="1:10" s="149" customFormat="1" hidden="1">
      <c r="B638" s="15" t="s">
        <v>323</v>
      </c>
      <c r="C638" s="16"/>
      <c r="D638" s="96" t="s">
        <v>116</v>
      </c>
      <c r="E638" s="96">
        <f>SUM(F630:F636)</f>
        <v>110.495</v>
      </c>
      <c r="F638" s="96">
        <f>E638*0.075</f>
        <v>8.2871249999999996</v>
      </c>
      <c r="G638" s="121"/>
      <c r="H638" s="121"/>
      <c r="I638" s="121"/>
      <c r="J638" s="121"/>
    </row>
    <row r="639" spans="1:10" s="149" customFormat="1" hidden="1">
      <c r="B639" s="99" t="s">
        <v>124</v>
      </c>
      <c r="C639" s="16"/>
      <c r="D639" s="16"/>
      <c r="E639" s="16"/>
      <c r="F639" s="16"/>
      <c r="G639" s="121"/>
      <c r="H639" s="121"/>
      <c r="I639" s="121"/>
      <c r="J639" s="121"/>
    </row>
    <row r="640" spans="1:10" s="149" customFormat="1" hidden="1">
      <c r="B640" s="15" t="s">
        <v>151</v>
      </c>
      <c r="C640" s="134">
        <v>1.4999999999999999E-2</v>
      </c>
      <c r="D640" s="96" t="s">
        <v>123</v>
      </c>
      <c r="E640" s="96">
        <f>Lead!J20</f>
        <v>196.4</v>
      </c>
      <c r="F640" s="96">
        <f>E640*C640</f>
        <v>2.9460000000000002</v>
      </c>
      <c r="G640" s="121"/>
      <c r="H640" s="121"/>
      <c r="I640" s="121"/>
      <c r="J640" s="121"/>
    </row>
    <row r="641" spans="1:10" s="149" customFormat="1" hidden="1">
      <c r="B641" s="15" t="s">
        <v>33</v>
      </c>
      <c r="C641" s="799">
        <v>3.5799999999999998E-2</v>
      </c>
      <c r="D641" s="96" t="s">
        <v>127</v>
      </c>
      <c r="E641" s="96">
        <f>Lead!J29</f>
        <v>16.899999999999999</v>
      </c>
      <c r="F641" s="96">
        <f>E641*C641</f>
        <v>0.60501999999999989</v>
      </c>
      <c r="G641" s="121"/>
      <c r="H641" s="121"/>
      <c r="I641" s="121"/>
      <c r="J641" s="121"/>
    </row>
    <row r="642" spans="1:10" s="149" customFormat="1" hidden="1">
      <c r="B642" s="63" t="s">
        <v>117</v>
      </c>
      <c r="C642" s="777"/>
      <c r="D642" s="16"/>
      <c r="E642" s="16"/>
      <c r="F642" s="16">
        <f>SUM(F630:F641)</f>
        <v>130.62027</v>
      </c>
      <c r="G642" s="121"/>
      <c r="H642" s="121"/>
      <c r="I642" s="121"/>
      <c r="J642" s="121"/>
    </row>
    <row r="643" spans="1:10" s="149" customFormat="1" hidden="1">
      <c r="B643" s="15" t="s">
        <v>429</v>
      </c>
      <c r="C643" s="16"/>
      <c r="D643" s="16"/>
      <c r="E643" s="16"/>
      <c r="F643" s="96">
        <f>F642*1%</f>
        <v>1.3062027</v>
      </c>
      <c r="G643" s="121"/>
      <c r="H643" s="121"/>
      <c r="I643" s="121"/>
      <c r="J643" s="121"/>
    </row>
    <row r="644" spans="1:10" s="149" customFormat="1" hidden="1">
      <c r="B644" s="15"/>
      <c r="C644" s="16"/>
      <c r="D644" s="16"/>
      <c r="E644" s="16"/>
      <c r="F644" s="778">
        <f>SUM(F642:F643)</f>
        <v>131.92647270000001</v>
      </c>
      <c r="G644" s="121"/>
      <c r="H644" s="121"/>
      <c r="I644" s="121"/>
      <c r="J644" s="121"/>
    </row>
    <row r="645" spans="1:10" s="149" customFormat="1" hidden="1">
      <c r="B645" s="45"/>
      <c r="C645" s="777"/>
      <c r="D645" s="777"/>
      <c r="E645" s="777" t="s">
        <v>120</v>
      </c>
      <c r="F645" s="777">
        <f>ROUND(F644,1)</f>
        <v>131.9</v>
      </c>
      <c r="G645" s="121"/>
      <c r="H645" s="121"/>
      <c r="I645" s="121"/>
      <c r="J645" s="121"/>
    </row>
    <row r="646" spans="1:10" s="149" customFormat="1" hidden="1">
      <c r="C646" s="121"/>
      <c r="D646" s="121"/>
      <c r="E646" s="121"/>
      <c r="F646" s="121"/>
      <c r="G646" s="121"/>
      <c r="H646" s="121"/>
      <c r="I646" s="121"/>
      <c r="J646" s="121"/>
    </row>
    <row r="647" spans="1:10" s="20" customFormat="1" hidden="1">
      <c r="A647" s="98" t="s">
        <v>38</v>
      </c>
      <c r="B647" s="15" t="s">
        <v>71</v>
      </c>
      <c r="C647" s="777"/>
      <c r="D647" s="96" t="s">
        <v>165</v>
      </c>
      <c r="E647" s="777"/>
      <c r="F647" s="777"/>
      <c r="G647" s="4"/>
      <c r="H647" s="4"/>
    </row>
    <row r="648" spans="1:10" s="20" customFormat="1" hidden="1">
      <c r="A648" s="5"/>
      <c r="B648" s="61" t="s">
        <v>159</v>
      </c>
      <c r="C648" s="777"/>
      <c r="D648" s="777"/>
      <c r="E648" s="777"/>
      <c r="F648" s="96">
        <f>F645</f>
        <v>131.9</v>
      </c>
      <c r="G648" s="4"/>
      <c r="H648" s="4"/>
    </row>
    <row r="649" spans="1:10" s="20" customFormat="1" hidden="1">
      <c r="A649" s="5"/>
      <c r="B649" s="62" t="s">
        <v>281</v>
      </c>
      <c r="C649" s="777"/>
      <c r="D649" s="4"/>
      <c r="E649" s="96">
        <f>((F633+F634+F635+F636)+(F633+F634+F635+F636)*0.15)</f>
        <v>99.360000000000014</v>
      </c>
      <c r="F649" s="96">
        <f>E649*3%</f>
        <v>2.9808000000000003</v>
      </c>
      <c r="G649" s="4"/>
      <c r="H649" s="4"/>
    </row>
    <row r="650" spans="1:10" s="20" customFormat="1" hidden="1">
      <c r="A650" s="5"/>
      <c r="B650" s="63" t="s">
        <v>117</v>
      </c>
      <c r="C650" s="777"/>
      <c r="D650" s="777"/>
      <c r="E650" s="777"/>
      <c r="F650" s="96">
        <f>SUM(F648:F649)</f>
        <v>134.88079999999999</v>
      </c>
      <c r="G650" s="4"/>
      <c r="H650" s="4"/>
    </row>
    <row r="651" spans="1:10" s="20" customFormat="1" hidden="1">
      <c r="A651" s="5"/>
      <c r="B651" s="45"/>
      <c r="C651" s="777"/>
      <c r="D651" s="777"/>
      <c r="E651" s="777" t="s">
        <v>120</v>
      </c>
      <c r="F651" s="777">
        <f>ROUND(F650,1)</f>
        <v>134.9</v>
      </c>
      <c r="G651" s="4"/>
      <c r="H651" s="4"/>
    </row>
    <row r="652" spans="1:10" s="20" customFormat="1" hidden="1">
      <c r="A652" s="5" t="s">
        <v>39</v>
      </c>
      <c r="B652" s="64" t="s">
        <v>267</v>
      </c>
      <c r="C652" s="777"/>
      <c r="D652" s="777"/>
      <c r="E652" s="777"/>
      <c r="F652" s="777"/>
      <c r="G652" s="4"/>
      <c r="H652" s="4"/>
    </row>
    <row r="653" spans="1:10" s="20" customFormat="1" hidden="1">
      <c r="A653" s="5"/>
      <c r="B653" s="61" t="s">
        <v>283</v>
      </c>
      <c r="C653" s="777"/>
      <c r="D653" s="777"/>
      <c r="E653" s="777"/>
      <c r="F653" s="96">
        <f>F650</f>
        <v>134.88079999999999</v>
      </c>
      <c r="G653" s="4"/>
      <c r="H653" s="4"/>
    </row>
    <row r="654" spans="1:10" s="20" customFormat="1" hidden="1">
      <c r="A654" s="5"/>
      <c r="B654" s="62" t="s">
        <v>282</v>
      </c>
      <c r="C654" s="777"/>
      <c r="D654" s="777"/>
      <c r="E654" s="96">
        <f>E649+F649</f>
        <v>102.34080000000002</v>
      </c>
      <c r="F654" s="96">
        <f>E654*0.03</f>
        <v>3.0702240000000005</v>
      </c>
      <c r="G654" s="4"/>
      <c r="H654" s="4"/>
    </row>
    <row r="655" spans="1:10" s="20" customFormat="1" hidden="1">
      <c r="A655" s="5"/>
      <c r="B655" s="63" t="s">
        <v>117</v>
      </c>
      <c r="C655" s="777"/>
      <c r="D655" s="777"/>
      <c r="E655" s="777"/>
      <c r="F655" s="96">
        <f>SUM(F653:F654)</f>
        <v>137.95102399999999</v>
      </c>
      <c r="G655" s="4"/>
      <c r="H655" s="4"/>
    </row>
    <row r="656" spans="1:10" s="20" customFormat="1" hidden="1">
      <c r="A656" s="5"/>
      <c r="B656" s="45"/>
      <c r="C656" s="777"/>
      <c r="D656" s="777"/>
      <c r="E656" s="777" t="s">
        <v>120</v>
      </c>
      <c r="F656" s="777">
        <f>ROUND(F655,1)</f>
        <v>138</v>
      </c>
      <c r="G656" s="4"/>
      <c r="H656" s="4"/>
    </row>
    <row r="657" spans="1:10" s="149" customFormat="1" hidden="1">
      <c r="C657" s="121"/>
      <c r="D657" s="121"/>
      <c r="E657" s="121"/>
      <c r="F657" s="121"/>
      <c r="G657" s="121"/>
      <c r="H657" s="121"/>
      <c r="I657" s="121"/>
      <c r="J657" s="121"/>
    </row>
    <row r="658" spans="1:10" s="149" customFormat="1" hidden="1">
      <c r="A658" s="133">
        <v>22</v>
      </c>
      <c r="B658" s="99" t="s">
        <v>563</v>
      </c>
      <c r="C658" s="96" t="s">
        <v>165</v>
      </c>
      <c r="D658" s="96"/>
      <c r="E658" s="96"/>
      <c r="F658" s="16"/>
      <c r="G658" s="121"/>
      <c r="H658" s="121"/>
      <c r="I658" s="121"/>
      <c r="J658" s="121"/>
    </row>
    <row r="659" spans="1:10" s="149" customFormat="1" hidden="1">
      <c r="B659" s="15" t="s">
        <v>70</v>
      </c>
      <c r="C659" s="16"/>
      <c r="D659" s="96"/>
      <c r="E659" s="16"/>
      <c r="F659" s="16"/>
      <c r="G659" s="121"/>
      <c r="H659" s="121"/>
      <c r="I659" s="121"/>
      <c r="J659" s="121"/>
    </row>
    <row r="660" spans="1:10" s="149" customFormat="1" hidden="1">
      <c r="B660" s="99" t="s">
        <v>150</v>
      </c>
      <c r="C660" s="16"/>
      <c r="D660" s="16"/>
      <c r="E660" s="16"/>
      <c r="F660" s="16"/>
      <c r="G660" s="121"/>
      <c r="H660" s="121"/>
      <c r="I660" s="121"/>
      <c r="J660" s="121"/>
    </row>
    <row r="661" spans="1:10" s="149" customFormat="1" hidden="1">
      <c r="B661" s="15" t="s">
        <v>151</v>
      </c>
      <c r="C661" s="96" t="s">
        <v>167</v>
      </c>
      <c r="D661" s="96" t="s">
        <v>123</v>
      </c>
      <c r="E661" s="96">
        <f>Lead!E20</f>
        <v>55</v>
      </c>
      <c r="F661" s="96">
        <f>E661*C661</f>
        <v>0.98999999999999988</v>
      </c>
      <c r="G661" s="121"/>
      <c r="H661" s="121"/>
      <c r="I661" s="121"/>
      <c r="J661" s="121"/>
    </row>
    <row r="662" spans="1:10" s="149" customFormat="1" hidden="1">
      <c r="B662" s="15" t="s">
        <v>33</v>
      </c>
      <c r="C662" s="96" t="s">
        <v>168</v>
      </c>
      <c r="D662" s="96" t="s">
        <v>127</v>
      </c>
      <c r="E662" s="96">
        <f>Lead!E29</f>
        <v>650</v>
      </c>
      <c r="F662" s="96">
        <f>E662*C662</f>
        <v>27.95</v>
      </c>
      <c r="G662" s="121"/>
      <c r="H662" s="121"/>
      <c r="I662" s="121"/>
      <c r="J662" s="121"/>
    </row>
    <row r="663" spans="1:10" s="149" customFormat="1" hidden="1">
      <c r="B663" s="99" t="s">
        <v>152</v>
      </c>
      <c r="C663" s="16"/>
      <c r="D663" s="16"/>
      <c r="E663" s="16"/>
      <c r="F663" s="96"/>
      <c r="G663" s="121"/>
      <c r="H663" s="121"/>
      <c r="I663" s="121"/>
      <c r="J663" s="121"/>
    </row>
    <row r="664" spans="1:10" s="149" customFormat="1" ht="25.5" hidden="1">
      <c r="B664" s="15" t="s">
        <v>169</v>
      </c>
      <c r="C664" s="96" t="s">
        <v>166</v>
      </c>
      <c r="D664" s="96" t="s">
        <v>114</v>
      </c>
      <c r="E664" s="96">
        <f>Lead!E47</f>
        <v>200</v>
      </c>
      <c r="F664" s="96">
        <f>E664*C664</f>
        <v>4</v>
      </c>
      <c r="G664" s="121"/>
      <c r="H664" s="121"/>
      <c r="I664" s="121"/>
      <c r="J664" s="121"/>
    </row>
    <row r="665" spans="1:10" s="149" customFormat="1" hidden="1">
      <c r="B665" s="15" t="s">
        <v>153</v>
      </c>
      <c r="C665" s="96" t="s">
        <v>170</v>
      </c>
      <c r="D665" s="96" t="s">
        <v>114</v>
      </c>
      <c r="E665" s="96">
        <f>Lead!E58</f>
        <v>240</v>
      </c>
      <c r="F665" s="96">
        <f>E665*C665</f>
        <v>38.4</v>
      </c>
      <c r="G665" s="121"/>
      <c r="H665" s="121"/>
      <c r="I665" s="121"/>
      <c r="J665" s="121"/>
    </row>
    <row r="666" spans="1:10" s="149" customFormat="1" hidden="1">
      <c r="B666" s="15" t="s">
        <v>113</v>
      </c>
      <c r="C666" s="96" t="s">
        <v>164</v>
      </c>
      <c r="D666" s="96" t="s">
        <v>114</v>
      </c>
      <c r="E666" s="96">
        <f>Lead!E47</f>
        <v>200</v>
      </c>
      <c r="F666" s="96">
        <f>E666*C666</f>
        <v>22</v>
      </c>
      <c r="G666" s="121"/>
      <c r="H666" s="121"/>
      <c r="I666" s="121"/>
      <c r="J666" s="121"/>
    </row>
    <row r="667" spans="1:10" s="149" customFormat="1" hidden="1">
      <c r="B667" s="15" t="s">
        <v>115</v>
      </c>
      <c r="C667" s="96" t="s">
        <v>164</v>
      </c>
      <c r="D667" s="96" t="s">
        <v>114</v>
      </c>
      <c r="E667" s="96">
        <f>Lead!E48</f>
        <v>200</v>
      </c>
      <c r="F667" s="96">
        <f>E667*C667</f>
        <v>22</v>
      </c>
      <c r="G667" s="121"/>
      <c r="H667" s="121"/>
      <c r="I667" s="121"/>
      <c r="J667" s="121"/>
    </row>
    <row r="668" spans="1:10" s="149" customFormat="1" hidden="1">
      <c r="B668" s="15" t="s">
        <v>322</v>
      </c>
      <c r="C668" s="16"/>
      <c r="D668" s="96" t="s">
        <v>116</v>
      </c>
      <c r="E668" s="96">
        <f>SUM(F661:F667)</f>
        <v>115.34</v>
      </c>
      <c r="F668" s="96">
        <f>E668*0.075</f>
        <v>8.6504999999999992</v>
      </c>
      <c r="G668" s="121"/>
      <c r="H668" s="121"/>
      <c r="I668" s="121"/>
      <c r="J668" s="121"/>
    </row>
    <row r="669" spans="1:10" s="149" customFormat="1" hidden="1">
      <c r="B669" s="15" t="s">
        <v>323</v>
      </c>
      <c r="C669" s="16"/>
      <c r="D669" s="96" t="s">
        <v>116</v>
      </c>
      <c r="E669" s="96">
        <f>SUM(F661:F667)</f>
        <v>115.34</v>
      </c>
      <c r="F669" s="96">
        <f>E669*0.075</f>
        <v>8.6504999999999992</v>
      </c>
      <c r="G669" s="121"/>
      <c r="H669" s="121"/>
      <c r="I669" s="121"/>
      <c r="J669" s="121"/>
    </row>
    <row r="670" spans="1:10" s="149" customFormat="1" hidden="1">
      <c r="B670" s="99" t="s">
        <v>124</v>
      </c>
      <c r="C670" s="16"/>
      <c r="D670" s="16"/>
      <c r="E670" s="16"/>
      <c r="F670" s="16"/>
      <c r="G670" s="121"/>
      <c r="H670" s="121"/>
      <c r="I670" s="121"/>
      <c r="J670" s="121"/>
    </row>
    <row r="671" spans="1:10" s="149" customFormat="1" hidden="1">
      <c r="B671" s="15" t="s">
        <v>151</v>
      </c>
      <c r="C671" s="96" t="s">
        <v>167</v>
      </c>
      <c r="D671" s="96" t="s">
        <v>123</v>
      </c>
      <c r="E671" s="96">
        <f>Lead!J20</f>
        <v>196.4</v>
      </c>
      <c r="F671" s="96">
        <f>E671*C671</f>
        <v>3.5351999999999997</v>
      </c>
      <c r="G671" s="121"/>
      <c r="H671" s="121"/>
      <c r="I671" s="121"/>
      <c r="J671" s="121"/>
    </row>
    <row r="672" spans="1:10" s="149" customFormat="1" hidden="1">
      <c r="B672" s="15" t="s">
        <v>33</v>
      </c>
      <c r="C672" s="96" t="s">
        <v>168</v>
      </c>
      <c r="D672" s="96" t="s">
        <v>127</v>
      </c>
      <c r="E672" s="96">
        <f>Lead!J29</f>
        <v>16.899999999999999</v>
      </c>
      <c r="F672" s="96">
        <f>E672*C672</f>
        <v>0.7266999999999999</v>
      </c>
      <c r="G672" s="121"/>
      <c r="H672" s="121"/>
      <c r="I672" s="121"/>
      <c r="J672" s="121"/>
    </row>
    <row r="673" spans="1:10" s="149" customFormat="1" hidden="1">
      <c r="B673" s="63" t="s">
        <v>117</v>
      </c>
      <c r="C673" s="777"/>
      <c r="D673" s="16"/>
      <c r="E673" s="16"/>
      <c r="F673" s="16">
        <f>SUM(F661:F672)</f>
        <v>136.90289999999999</v>
      </c>
      <c r="G673" s="121"/>
      <c r="H673" s="121"/>
      <c r="I673" s="121"/>
      <c r="J673" s="121"/>
    </row>
    <row r="674" spans="1:10" s="149" customFormat="1" hidden="1">
      <c r="B674" s="15" t="s">
        <v>429</v>
      </c>
      <c r="C674" s="16"/>
      <c r="D674" s="16"/>
      <c r="E674" s="16"/>
      <c r="F674" s="96">
        <f>F673*1%</f>
        <v>1.3690289999999998</v>
      </c>
      <c r="G674" s="121"/>
      <c r="H674" s="121"/>
      <c r="I674" s="121"/>
      <c r="J674" s="121"/>
    </row>
    <row r="675" spans="1:10" s="149" customFormat="1" hidden="1">
      <c r="B675" s="15"/>
      <c r="C675" s="16"/>
      <c r="D675" s="16"/>
      <c r="E675" s="16"/>
      <c r="F675" s="778">
        <f>SUM(F673:F674)</f>
        <v>138.271929</v>
      </c>
      <c r="G675" s="121"/>
      <c r="H675" s="121"/>
      <c r="I675" s="121"/>
      <c r="J675" s="121"/>
    </row>
    <row r="676" spans="1:10" s="149" customFormat="1" hidden="1">
      <c r="B676" s="45"/>
      <c r="C676" s="777"/>
      <c r="D676" s="777"/>
      <c r="E676" s="777" t="s">
        <v>120</v>
      </c>
      <c r="F676" s="777">
        <f>ROUND(F675,1)</f>
        <v>138.30000000000001</v>
      </c>
      <c r="G676" s="121"/>
      <c r="H676" s="121"/>
      <c r="I676" s="121"/>
      <c r="J676" s="121"/>
    </row>
    <row r="677" spans="1:10" s="20" customFormat="1" hidden="1">
      <c r="A677" s="98" t="s">
        <v>38</v>
      </c>
      <c r="B677" s="15" t="s">
        <v>71</v>
      </c>
      <c r="C677" s="777"/>
      <c r="D677" s="96" t="s">
        <v>165</v>
      </c>
      <c r="E677" s="777"/>
      <c r="F677" s="777"/>
      <c r="G677" s="4"/>
      <c r="H677" s="4"/>
    </row>
    <row r="678" spans="1:10" s="20" customFormat="1" hidden="1">
      <c r="A678" s="5"/>
      <c r="B678" s="61" t="s">
        <v>159</v>
      </c>
      <c r="C678" s="777"/>
      <c r="D678" s="777"/>
      <c r="E678" s="777"/>
      <c r="F678" s="96">
        <f>F675</f>
        <v>138.271929</v>
      </c>
      <c r="G678" s="4"/>
      <c r="H678" s="4"/>
    </row>
    <row r="679" spans="1:10" s="20" customFormat="1" hidden="1">
      <c r="A679" s="5"/>
      <c r="B679" s="62" t="s">
        <v>281</v>
      </c>
      <c r="C679" s="777"/>
      <c r="D679" s="16"/>
      <c r="E679" s="96">
        <f>((F664+F665+F666+F667)+(F664+F665+F666+F667)*0.15)</f>
        <v>99.360000000000014</v>
      </c>
      <c r="F679" s="96">
        <f>E679*0.03</f>
        <v>2.9808000000000003</v>
      </c>
      <c r="G679" s="4"/>
      <c r="H679" s="4"/>
    </row>
    <row r="680" spans="1:10" s="20" customFormat="1" hidden="1">
      <c r="A680" s="5"/>
      <c r="B680" s="63" t="s">
        <v>117</v>
      </c>
      <c r="C680" s="777"/>
      <c r="D680" s="777"/>
      <c r="E680" s="777"/>
      <c r="F680" s="96">
        <f>SUM(F678:F679)</f>
        <v>141.25272899999999</v>
      </c>
      <c r="G680" s="4"/>
      <c r="H680" s="4"/>
    </row>
    <row r="681" spans="1:10" s="20" customFormat="1" hidden="1">
      <c r="A681" s="5"/>
      <c r="B681" s="45"/>
      <c r="C681" s="777"/>
      <c r="D681" s="777"/>
      <c r="E681" s="777" t="s">
        <v>120</v>
      </c>
      <c r="F681" s="777">
        <f>ROUND(F680,1)</f>
        <v>141.30000000000001</v>
      </c>
      <c r="G681" s="4"/>
      <c r="H681" s="4"/>
    </row>
    <row r="682" spans="1:10" s="20" customFormat="1" hidden="1">
      <c r="A682" s="5" t="s">
        <v>39</v>
      </c>
      <c r="B682" s="64" t="s">
        <v>267</v>
      </c>
      <c r="C682" s="777"/>
      <c r="D682" s="777"/>
      <c r="E682" s="777"/>
      <c r="F682" s="777"/>
      <c r="G682" s="4"/>
      <c r="H682" s="4"/>
    </row>
    <row r="683" spans="1:10" s="20" customFormat="1" hidden="1">
      <c r="A683" s="5"/>
      <c r="B683" s="61" t="s">
        <v>283</v>
      </c>
      <c r="C683" s="777"/>
      <c r="D683" s="777"/>
      <c r="E683" s="777"/>
      <c r="F683" s="96">
        <f>F680</f>
        <v>141.25272899999999</v>
      </c>
      <c r="G683" s="4"/>
      <c r="H683" s="4"/>
    </row>
    <row r="684" spans="1:10" s="20" customFormat="1" hidden="1">
      <c r="A684" s="5"/>
      <c r="B684" s="62" t="s">
        <v>282</v>
      </c>
      <c r="C684" s="777"/>
      <c r="D684" s="777"/>
      <c r="E684" s="96">
        <f>E679+F679</f>
        <v>102.34080000000002</v>
      </c>
      <c r="F684" s="96">
        <f>E684*0.03</f>
        <v>3.0702240000000005</v>
      </c>
      <c r="G684" s="4"/>
      <c r="H684" s="4"/>
    </row>
    <row r="685" spans="1:10" s="20" customFormat="1" hidden="1">
      <c r="A685" s="5"/>
      <c r="B685" s="63" t="s">
        <v>117</v>
      </c>
      <c r="C685" s="777"/>
      <c r="D685" s="777"/>
      <c r="E685" s="777"/>
      <c r="F685" s="96">
        <f>SUM(F683:F684)</f>
        <v>144.32295299999998</v>
      </c>
      <c r="G685" s="4"/>
      <c r="H685" s="4"/>
    </row>
    <row r="686" spans="1:10" s="20" customFormat="1" hidden="1">
      <c r="A686" s="5"/>
      <c r="B686" s="45"/>
      <c r="C686" s="777"/>
      <c r="D686" s="777"/>
      <c r="E686" s="777" t="s">
        <v>120</v>
      </c>
      <c r="F686" s="777">
        <f>ROUND(F685,1)</f>
        <v>144.30000000000001</v>
      </c>
      <c r="G686" s="4"/>
      <c r="H686" s="4"/>
    </row>
    <row r="687" spans="1:10" s="149" customFormat="1" hidden="1">
      <c r="C687" s="121"/>
      <c r="D687" s="121"/>
      <c r="E687" s="121"/>
      <c r="F687" s="121"/>
      <c r="G687" s="121"/>
      <c r="H687" s="121"/>
      <c r="I687" s="121"/>
      <c r="J687" s="121"/>
    </row>
    <row r="688" spans="1:10" s="149" customFormat="1" ht="25.5" hidden="1">
      <c r="A688" s="133">
        <v>23</v>
      </c>
      <c r="B688" s="129" t="s">
        <v>528</v>
      </c>
      <c r="C688" s="96" t="s">
        <v>165</v>
      </c>
      <c r="D688" s="134"/>
      <c r="E688" s="96"/>
      <c r="F688" s="16"/>
      <c r="G688" s="121"/>
      <c r="H688" s="121"/>
      <c r="I688" s="121"/>
      <c r="J688" s="121"/>
    </row>
    <row r="689" spans="1:10" s="149" customFormat="1" hidden="1">
      <c r="B689" s="3" t="s">
        <v>70</v>
      </c>
      <c r="C689" s="16"/>
      <c r="D689" s="134"/>
      <c r="E689" s="16"/>
      <c r="F689" s="16"/>
      <c r="G689" s="121"/>
      <c r="H689" s="121"/>
      <c r="I689" s="121"/>
      <c r="J689" s="121"/>
    </row>
    <row r="690" spans="1:10" s="149" customFormat="1" hidden="1">
      <c r="B690" s="19" t="s">
        <v>4</v>
      </c>
      <c r="C690" s="16"/>
      <c r="D690" s="57"/>
      <c r="E690" s="16"/>
      <c r="F690" s="16"/>
      <c r="G690" s="121"/>
      <c r="H690" s="121"/>
      <c r="I690" s="121"/>
      <c r="J690" s="121"/>
    </row>
    <row r="691" spans="1:10" s="149" customFormat="1" hidden="1">
      <c r="B691" s="19" t="s">
        <v>28</v>
      </c>
      <c r="C691" s="16"/>
      <c r="D691" s="57"/>
      <c r="E691" s="16"/>
      <c r="F691" s="16"/>
      <c r="G691" s="121"/>
      <c r="H691" s="121"/>
      <c r="I691" s="121"/>
      <c r="J691" s="121"/>
    </row>
    <row r="692" spans="1:10" s="149" customFormat="1" hidden="1">
      <c r="B692" s="19" t="s">
        <v>529</v>
      </c>
      <c r="C692" s="16">
        <v>8</v>
      </c>
      <c r="D692" s="57" t="s">
        <v>18</v>
      </c>
      <c r="E692" s="16">
        <v>30</v>
      </c>
      <c r="F692" s="16">
        <f>E692*C692</f>
        <v>240</v>
      </c>
      <c r="G692" s="121"/>
      <c r="H692" s="121"/>
      <c r="I692" s="121"/>
      <c r="J692" s="121"/>
    </row>
    <row r="693" spans="1:10" s="149" customFormat="1" hidden="1">
      <c r="B693" s="136" t="s">
        <v>111</v>
      </c>
      <c r="C693" s="16"/>
      <c r="D693" s="57"/>
      <c r="E693" s="16"/>
      <c r="F693" s="16"/>
      <c r="G693" s="121"/>
      <c r="H693" s="121"/>
      <c r="I693" s="121"/>
      <c r="J693" s="121"/>
    </row>
    <row r="694" spans="1:10" s="149" customFormat="1" hidden="1">
      <c r="B694" s="19" t="s">
        <v>329</v>
      </c>
      <c r="C694" s="16">
        <v>0.5</v>
      </c>
      <c r="D694" s="57" t="s">
        <v>114</v>
      </c>
      <c r="E694" s="16">
        <f>Lead!J57</f>
        <v>240</v>
      </c>
      <c r="F694" s="16">
        <f>E694*C694</f>
        <v>120</v>
      </c>
      <c r="G694" s="121"/>
      <c r="H694" s="121"/>
      <c r="I694" s="121"/>
      <c r="J694" s="121"/>
    </row>
    <row r="695" spans="1:10" s="149" customFormat="1" hidden="1">
      <c r="B695" s="19" t="s">
        <v>27</v>
      </c>
      <c r="C695" s="16">
        <v>0.5</v>
      </c>
      <c r="D695" s="57" t="s">
        <v>114</v>
      </c>
      <c r="E695" s="16">
        <f>Lead!E47</f>
        <v>200</v>
      </c>
      <c r="F695" s="16">
        <f>E695*C695</f>
        <v>100</v>
      </c>
      <c r="G695" s="121"/>
      <c r="H695" s="121"/>
      <c r="I695" s="121"/>
      <c r="J695" s="121"/>
    </row>
    <row r="696" spans="1:10" s="149" customFormat="1" hidden="1">
      <c r="B696" s="19" t="s">
        <v>7</v>
      </c>
      <c r="C696" s="16">
        <v>7.0000000000000007E-2</v>
      </c>
      <c r="D696" s="57" t="s">
        <v>114</v>
      </c>
      <c r="E696" s="16">
        <f>Lead!E47</f>
        <v>200</v>
      </c>
      <c r="F696" s="16">
        <f>E696*C696</f>
        <v>14.000000000000002</v>
      </c>
      <c r="G696" s="121"/>
      <c r="H696" s="121"/>
      <c r="I696" s="121"/>
      <c r="J696" s="121"/>
    </row>
    <row r="697" spans="1:10" s="149" customFormat="1" hidden="1">
      <c r="B697" s="15" t="s">
        <v>322</v>
      </c>
      <c r="C697" s="16"/>
      <c r="D697" s="134" t="s">
        <v>116</v>
      </c>
      <c r="E697" s="96">
        <f>SUM(F692:F696)</f>
        <v>474</v>
      </c>
      <c r="F697" s="96">
        <f>E697*0.075</f>
        <v>35.549999999999997</v>
      </c>
      <c r="G697" s="121"/>
      <c r="H697" s="121"/>
      <c r="I697" s="121"/>
      <c r="J697" s="121"/>
    </row>
    <row r="698" spans="1:10" s="149" customFormat="1" hidden="1">
      <c r="B698" s="15" t="s">
        <v>323</v>
      </c>
      <c r="C698" s="16"/>
      <c r="D698" s="134" t="s">
        <v>116</v>
      </c>
      <c r="E698" s="96">
        <f>SUM(F692:F696)</f>
        <v>474</v>
      </c>
      <c r="F698" s="96">
        <f>E698*0.075</f>
        <v>35.549999999999997</v>
      </c>
      <c r="G698" s="121"/>
      <c r="H698" s="121"/>
      <c r="I698" s="121"/>
      <c r="J698" s="121"/>
    </row>
    <row r="699" spans="1:10" s="149" customFormat="1" hidden="1">
      <c r="B699" s="3" t="s">
        <v>117</v>
      </c>
      <c r="C699" s="16"/>
      <c r="D699" s="57"/>
      <c r="E699" s="16"/>
      <c r="F699" s="16">
        <f>SUM(F692:F698)</f>
        <v>545.1</v>
      </c>
      <c r="G699" s="121"/>
      <c r="H699" s="121"/>
      <c r="I699" s="121"/>
      <c r="J699" s="121"/>
    </row>
    <row r="700" spans="1:10" s="149" customFormat="1" hidden="1">
      <c r="B700" s="3" t="s">
        <v>50</v>
      </c>
      <c r="C700" s="16"/>
      <c r="D700" s="57"/>
      <c r="E700" s="16"/>
      <c r="F700" s="16">
        <f>F699/10</f>
        <v>54.510000000000005</v>
      </c>
      <c r="G700" s="121"/>
      <c r="H700" s="121"/>
      <c r="I700" s="121"/>
      <c r="J700" s="121"/>
    </row>
    <row r="701" spans="1:10" s="149" customFormat="1" hidden="1">
      <c r="B701" s="63" t="s">
        <v>530</v>
      </c>
      <c r="C701" s="96"/>
      <c r="D701" s="96"/>
      <c r="E701" s="96"/>
      <c r="F701" s="96">
        <f>F700*0.01</f>
        <v>0.54510000000000003</v>
      </c>
      <c r="G701" s="121"/>
      <c r="H701" s="121"/>
      <c r="I701" s="121"/>
      <c r="J701" s="121"/>
    </row>
    <row r="702" spans="1:10" s="149" customFormat="1" hidden="1">
      <c r="B702" s="63" t="s">
        <v>117</v>
      </c>
      <c r="C702" s="96"/>
      <c r="D702" s="96"/>
      <c r="E702" s="96"/>
      <c r="F702" s="96">
        <f>SUM(F700:F701)</f>
        <v>55.055100000000003</v>
      </c>
      <c r="G702" s="121"/>
      <c r="H702" s="121"/>
      <c r="I702" s="121"/>
      <c r="J702" s="121"/>
    </row>
    <row r="703" spans="1:10" s="149" customFormat="1" hidden="1">
      <c r="B703" s="45"/>
      <c r="C703" s="777"/>
      <c r="D703" s="798"/>
      <c r="E703" s="777" t="s">
        <v>120</v>
      </c>
      <c r="F703" s="777">
        <f>ROUND(F702,1)</f>
        <v>55.1</v>
      </c>
      <c r="G703" s="121"/>
      <c r="H703" s="121"/>
      <c r="I703" s="121"/>
      <c r="J703" s="121"/>
    </row>
    <row r="704" spans="1:10" s="20" customFormat="1" hidden="1">
      <c r="A704" s="5" t="s">
        <v>38</v>
      </c>
      <c r="B704" s="64" t="s">
        <v>71</v>
      </c>
      <c r="C704" s="798"/>
      <c r="D704" s="798"/>
      <c r="E704" s="798"/>
      <c r="F704" s="798"/>
      <c r="G704" s="4"/>
      <c r="H704" s="4"/>
    </row>
    <row r="705" spans="1:10" s="20" customFormat="1" hidden="1">
      <c r="A705" s="5"/>
      <c r="B705" s="19" t="s">
        <v>331</v>
      </c>
      <c r="C705" s="57"/>
      <c r="D705" s="57"/>
      <c r="E705" s="57"/>
      <c r="F705" s="57">
        <f>F702</f>
        <v>55.055100000000003</v>
      </c>
      <c r="G705" s="4"/>
      <c r="H705" s="4"/>
    </row>
    <row r="706" spans="1:10" s="20" customFormat="1" hidden="1">
      <c r="A706" s="5"/>
      <c r="B706" s="62" t="s">
        <v>281</v>
      </c>
      <c r="C706" s="57"/>
      <c r="D706" s="4"/>
      <c r="E706" s="57">
        <f>((F694+F695+F696)+(F694+F695+F696)*0.15)/10</f>
        <v>26.910000000000004</v>
      </c>
      <c r="F706" s="57">
        <f>E706*0.03</f>
        <v>0.80730000000000013</v>
      </c>
      <c r="G706" s="4"/>
      <c r="H706" s="4"/>
    </row>
    <row r="707" spans="1:10" s="20" customFormat="1" hidden="1">
      <c r="A707" s="5"/>
      <c r="B707" s="63" t="s">
        <v>117</v>
      </c>
      <c r="C707" s="57"/>
      <c r="D707" s="57"/>
      <c r="E707" s="57"/>
      <c r="F707" s="57">
        <f>SUM(F705:F706)</f>
        <v>55.862400000000001</v>
      </c>
      <c r="G707" s="4"/>
      <c r="H707" s="4"/>
    </row>
    <row r="708" spans="1:10" s="20" customFormat="1" hidden="1">
      <c r="A708" s="5"/>
      <c r="B708" s="45"/>
      <c r="C708" s="798"/>
      <c r="D708" s="798"/>
      <c r="E708" s="798" t="s">
        <v>120</v>
      </c>
      <c r="F708" s="798">
        <f>ROUND(F707,1)</f>
        <v>55.9</v>
      </c>
      <c r="G708" s="4"/>
      <c r="H708" s="4"/>
    </row>
    <row r="709" spans="1:10" s="20" customFormat="1" hidden="1">
      <c r="A709" s="4" t="s">
        <v>39</v>
      </c>
      <c r="B709" s="19" t="s">
        <v>267</v>
      </c>
      <c r="C709" s="57"/>
      <c r="D709" s="57"/>
      <c r="E709" s="57"/>
      <c r="F709" s="57"/>
      <c r="G709" s="4"/>
      <c r="H709" s="4"/>
    </row>
    <row r="710" spans="1:10" s="20" customFormat="1" hidden="1">
      <c r="A710" s="4"/>
      <c r="B710" s="19" t="s">
        <v>278</v>
      </c>
      <c r="C710" s="57"/>
      <c r="D710" s="57"/>
      <c r="E710" s="57"/>
      <c r="F710" s="57">
        <f>F707</f>
        <v>55.862400000000001</v>
      </c>
      <c r="G710" s="4"/>
      <c r="H710" s="4"/>
    </row>
    <row r="711" spans="1:10" s="20" customFormat="1" hidden="1">
      <c r="A711" s="4"/>
      <c r="B711" s="62" t="s">
        <v>282</v>
      </c>
      <c r="C711" s="57"/>
      <c r="D711" s="57"/>
      <c r="E711" s="57">
        <f>E706+F706</f>
        <v>27.717300000000005</v>
      </c>
      <c r="F711" s="57">
        <f>E711*0.03</f>
        <v>0.83151900000000012</v>
      </c>
      <c r="G711" s="4"/>
      <c r="H711" s="4"/>
    </row>
    <row r="712" spans="1:10" s="20" customFormat="1" hidden="1">
      <c r="A712" s="4"/>
      <c r="B712" s="63" t="s">
        <v>117</v>
      </c>
      <c r="C712" s="57"/>
      <c r="D712" s="57"/>
      <c r="E712" s="57"/>
      <c r="F712" s="57">
        <f>SUM(F710:F711)</f>
        <v>56.693919000000001</v>
      </c>
      <c r="G712" s="4"/>
      <c r="H712" s="4"/>
    </row>
    <row r="713" spans="1:10" s="149" customFormat="1" hidden="1">
      <c r="C713" s="121"/>
      <c r="D713" s="121"/>
      <c r="E713" s="121"/>
      <c r="F713" s="121"/>
      <c r="G713" s="121"/>
      <c r="H713" s="121"/>
      <c r="I713" s="121"/>
      <c r="J713" s="121"/>
    </row>
    <row r="714" spans="1:10" s="149" customFormat="1" ht="53.25" customHeight="1">
      <c r="A714" s="133">
        <v>42</v>
      </c>
      <c r="B714" s="129" t="s">
        <v>1010</v>
      </c>
      <c r="C714" s="4"/>
      <c r="D714" s="138" t="s">
        <v>165</v>
      </c>
      <c r="E714" s="4"/>
      <c r="F714" s="4"/>
      <c r="G714" s="121"/>
      <c r="H714" s="121"/>
      <c r="I714" s="121"/>
      <c r="J714" s="121"/>
    </row>
    <row r="715" spans="1:10" s="149" customFormat="1">
      <c r="A715" s="133"/>
      <c r="B715" s="19" t="s">
        <v>4</v>
      </c>
      <c r="C715" s="4"/>
      <c r="D715" s="4"/>
      <c r="E715" s="4"/>
      <c r="F715" s="4"/>
      <c r="G715" s="121"/>
      <c r="H715" s="121"/>
      <c r="I715" s="121"/>
      <c r="J715" s="121"/>
    </row>
    <row r="716" spans="1:10" s="149" customFormat="1">
      <c r="A716" s="101"/>
      <c r="B716" s="156" t="s">
        <v>1008</v>
      </c>
      <c r="C716" s="100"/>
      <c r="D716" s="100"/>
      <c r="E716" s="100"/>
      <c r="F716" s="100"/>
      <c r="G716" s="165"/>
      <c r="H716" s="165"/>
      <c r="I716" s="121"/>
      <c r="J716" s="121"/>
    </row>
    <row r="717" spans="1:10" s="149" customFormat="1">
      <c r="A717" s="101"/>
      <c r="B717" s="1082" t="s">
        <v>111</v>
      </c>
      <c r="C717" s="102"/>
      <c r="D717" s="557"/>
      <c r="E717" s="102"/>
      <c r="F717" s="102"/>
      <c r="G717" s="165"/>
      <c r="H717" s="165"/>
      <c r="I717" s="121"/>
      <c r="J717" s="121"/>
    </row>
    <row r="718" spans="1:10" s="149" customFormat="1">
      <c r="A718" s="101"/>
      <c r="B718" s="339" t="s">
        <v>329</v>
      </c>
      <c r="C718" s="102">
        <v>0.5</v>
      </c>
      <c r="D718" s="557" t="s">
        <v>114</v>
      </c>
      <c r="E718" s="102">
        <f>Lead!J57</f>
        <v>240</v>
      </c>
      <c r="F718" s="102">
        <f>E718*C718</f>
        <v>120</v>
      </c>
      <c r="G718" s="165"/>
      <c r="H718" s="165"/>
      <c r="I718" s="121"/>
      <c r="J718" s="121"/>
    </row>
    <row r="719" spans="1:10" s="149" customFormat="1">
      <c r="A719" s="101"/>
      <c r="B719" s="339" t="s">
        <v>27</v>
      </c>
      <c r="C719" s="102">
        <v>0.5</v>
      </c>
      <c r="D719" s="557" t="s">
        <v>114</v>
      </c>
      <c r="E719" s="102">
        <f>Lead!E47</f>
        <v>200</v>
      </c>
      <c r="F719" s="102">
        <f>E719*C719</f>
        <v>100</v>
      </c>
      <c r="G719" s="165"/>
      <c r="H719" s="165"/>
      <c r="I719" s="121"/>
      <c r="J719" s="121"/>
    </row>
    <row r="720" spans="1:10" s="149" customFormat="1">
      <c r="A720" s="101"/>
      <c r="B720" s="339" t="s">
        <v>7</v>
      </c>
      <c r="C720" s="102">
        <v>7.0000000000000007E-2</v>
      </c>
      <c r="D720" s="557" t="s">
        <v>114</v>
      </c>
      <c r="E720" s="102">
        <f>E719</f>
        <v>200</v>
      </c>
      <c r="F720" s="102">
        <f>E720*C720</f>
        <v>14.000000000000002</v>
      </c>
      <c r="G720" s="165"/>
      <c r="H720" s="165"/>
      <c r="I720" s="121"/>
      <c r="J720" s="121"/>
    </row>
    <row r="721" spans="1:10" s="149" customFormat="1">
      <c r="A721" s="101"/>
      <c r="B721" s="332" t="s">
        <v>322</v>
      </c>
      <c r="C721" s="102"/>
      <c r="D721" s="1048" t="s">
        <v>116</v>
      </c>
      <c r="E721" s="1049">
        <f>SUM(F717:F720)</f>
        <v>234</v>
      </c>
      <c r="F721" s="1049">
        <f>E721*0.075</f>
        <v>17.55</v>
      </c>
      <c r="G721" s="165"/>
      <c r="H721" s="165"/>
      <c r="I721" s="121"/>
      <c r="J721" s="121"/>
    </row>
    <row r="722" spans="1:10" s="149" customFormat="1">
      <c r="A722" s="101"/>
      <c r="B722" s="332" t="s">
        <v>323</v>
      </c>
      <c r="C722" s="102"/>
      <c r="D722" s="1048" t="s">
        <v>116</v>
      </c>
      <c r="E722" s="1049">
        <f>SUM(F717:F720)</f>
        <v>234</v>
      </c>
      <c r="F722" s="1049">
        <f>E722*0.075</f>
        <v>17.55</v>
      </c>
      <c r="G722" s="165"/>
      <c r="H722" s="165"/>
      <c r="I722" s="121"/>
      <c r="J722" s="121"/>
    </row>
    <row r="723" spans="1:10" s="149" customFormat="1">
      <c r="A723" s="101"/>
      <c r="B723" s="156" t="s">
        <v>117</v>
      </c>
      <c r="C723" s="102"/>
      <c r="D723" s="557"/>
      <c r="E723" s="102"/>
      <c r="F723" s="102">
        <f>SUM(F717:F722)</f>
        <v>269.10000000000002</v>
      </c>
      <c r="G723" s="165"/>
      <c r="H723" s="165"/>
      <c r="I723" s="121"/>
      <c r="J723" s="121"/>
    </row>
    <row r="724" spans="1:10" s="149" customFormat="1">
      <c r="A724" s="101"/>
      <c r="B724" s="339" t="s">
        <v>3</v>
      </c>
      <c r="C724" s="102"/>
      <c r="D724" s="557"/>
      <c r="E724" s="102"/>
      <c r="F724" s="102">
        <f>F723/10</f>
        <v>26.910000000000004</v>
      </c>
      <c r="G724" s="165"/>
      <c r="H724" s="165"/>
      <c r="I724" s="121"/>
      <c r="J724" s="121"/>
    </row>
    <row r="725" spans="1:10" s="149" customFormat="1">
      <c r="A725" s="101"/>
      <c r="B725" s="1082" t="s">
        <v>5</v>
      </c>
      <c r="C725" s="100"/>
      <c r="D725" s="100"/>
      <c r="E725" s="100"/>
      <c r="F725" s="100"/>
      <c r="G725" s="165"/>
      <c r="H725" s="165"/>
      <c r="I725" s="121"/>
      <c r="J725" s="121"/>
    </row>
    <row r="726" spans="1:10" s="149" customFormat="1">
      <c r="A726" s="101"/>
      <c r="B726" s="339" t="s">
        <v>6</v>
      </c>
      <c r="C726" s="100">
        <v>0.54</v>
      </c>
      <c r="D726" s="100" t="s">
        <v>114</v>
      </c>
      <c r="E726" s="1049">
        <f>Lead!J66</f>
        <v>260</v>
      </c>
      <c r="F726" s="102">
        <f>E726*C726</f>
        <v>140.4</v>
      </c>
      <c r="G726" s="165"/>
      <c r="H726" s="165"/>
      <c r="I726" s="121"/>
      <c r="J726" s="121"/>
    </row>
    <row r="727" spans="1:10" s="149" customFormat="1">
      <c r="A727" s="101"/>
      <c r="B727" s="339" t="s">
        <v>27</v>
      </c>
      <c r="C727" s="100">
        <v>0.54</v>
      </c>
      <c r="D727" s="100" t="s">
        <v>114</v>
      </c>
      <c r="E727" s="1049">
        <f>Lead!E47</f>
        <v>200</v>
      </c>
      <c r="F727" s="102">
        <f>E727*C727</f>
        <v>108</v>
      </c>
      <c r="G727" s="165"/>
      <c r="H727" s="165"/>
      <c r="I727" s="121"/>
      <c r="J727" s="121"/>
    </row>
    <row r="728" spans="1:10" s="149" customFormat="1">
      <c r="A728" s="101"/>
      <c r="B728" s="339" t="s">
        <v>7</v>
      </c>
      <c r="C728" s="102">
        <v>0.1</v>
      </c>
      <c r="D728" s="100" t="s">
        <v>114</v>
      </c>
      <c r="E728" s="1049">
        <f>E727</f>
        <v>200</v>
      </c>
      <c r="F728" s="102">
        <f>E728*C728</f>
        <v>20</v>
      </c>
      <c r="G728" s="165"/>
      <c r="H728" s="165"/>
      <c r="I728" s="121"/>
      <c r="J728" s="121"/>
    </row>
    <row r="729" spans="1:10" s="149" customFormat="1">
      <c r="A729" s="101"/>
      <c r="B729" s="332" t="s">
        <v>322</v>
      </c>
      <c r="C729" s="100"/>
      <c r="D729" s="1050" t="s">
        <v>116</v>
      </c>
      <c r="E729" s="1051">
        <f>SUM(F726:F728)</f>
        <v>268.39999999999998</v>
      </c>
      <c r="F729" s="1051">
        <f>E729*7.5%</f>
        <v>20.13</v>
      </c>
      <c r="G729" s="165"/>
      <c r="H729" s="165"/>
      <c r="I729" s="121"/>
      <c r="J729" s="121"/>
    </row>
    <row r="730" spans="1:10" s="149" customFormat="1">
      <c r="A730" s="101"/>
      <c r="B730" s="332" t="s">
        <v>323</v>
      </c>
      <c r="C730" s="100"/>
      <c r="D730" s="1050" t="s">
        <v>116</v>
      </c>
      <c r="E730" s="1051">
        <f>SUM(F726:F728)</f>
        <v>268.39999999999998</v>
      </c>
      <c r="F730" s="1051">
        <f>E730*7.5%</f>
        <v>20.13</v>
      </c>
      <c r="G730" s="165"/>
      <c r="H730" s="165"/>
      <c r="I730" s="121"/>
      <c r="J730" s="121"/>
    </row>
    <row r="731" spans="1:10" s="149" customFormat="1">
      <c r="A731" s="101"/>
      <c r="B731" s="339" t="s">
        <v>117</v>
      </c>
      <c r="C731" s="100"/>
      <c r="D731" s="100"/>
      <c r="E731" s="100"/>
      <c r="F731" s="102">
        <f>SUM(F726:F730)</f>
        <v>308.65999999999997</v>
      </c>
      <c r="G731" s="165"/>
      <c r="H731" s="165"/>
      <c r="I731" s="121"/>
      <c r="J731" s="121"/>
    </row>
    <row r="732" spans="1:10" s="149" customFormat="1">
      <c r="A732" s="101"/>
      <c r="B732" s="339" t="s">
        <v>8</v>
      </c>
      <c r="C732" s="100">
        <v>1.25</v>
      </c>
      <c r="D732" s="100" t="s">
        <v>9</v>
      </c>
      <c r="E732" s="102">
        <v>237</v>
      </c>
      <c r="F732" s="102">
        <f>E732*C732</f>
        <v>296.25</v>
      </c>
      <c r="G732" s="165"/>
      <c r="H732" s="165"/>
      <c r="I732" s="121"/>
      <c r="J732" s="121"/>
    </row>
    <row r="733" spans="1:10" s="149" customFormat="1">
      <c r="A733" s="101"/>
      <c r="B733" s="339" t="s">
        <v>117</v>
      </c>
      <c r="C733" s="100"/>
      <c r="D733" s="100"/>
      <c r="E733" s="100"/>
      <c r="F733" s="102">
        <f>SUM(F731:F732)</f>
        <v>604.91</v>
      </c>
      <c r="G733" s="165"/>
      <c r="H733" s="165"/>
      <c r="I733" s="121"/>
      <c r="J733" s="121"/>
    </row>
    <row r="734" spans="1:10" s="149" customFormat="1">
      <c r="A734" s="101"/>
      <c r="B734" s="339" t="s">
        <v>3</v>
      </c>
      <c r="C734" s="100"/>
      <c r="D734" s="100"/>
      <c r="E734" s="100"/>
      <c r="F734" s="102">
        <f>F733/10</f>
        <v>60.491</v>
      </c>
      <c r="G734" s="165"/>
      <c r="H734" s="165"/>
      <c r="I734" s="121"/>
      <c r="J734" s="121"/>
    </row>
    <row r="735" spans="1:10" s="149" customFormat="1">
      <c r="A735" s="101"/>
      <c r="B735" s="1082" t="s">
        <v>10</v>
      </c>
      <c r="C735" s="100"/>
      <c r="D735" s="100"/>
      <c r="E735" s="100"/>
      <c r="F735" s="100"/>
      <c r="G735" s="165"/>
      <c r="H735" s="165"/>
      <c r="I735" s="121"/>
      <c r="J735" s="121"/>
    </row>
    <row r="736" spans="1:10" s="149" customFormat="1">
      <c r="A736" s="101"/>
      <c r="B736" s="339" t="s">
        <v>11</v>
      </c>
      <c r="C736" s="100"/>
      <c r="D736" s="100"/>
      <c r="E736" s="100"/>
      <c r="F736" s="100"/>
      <c r="G736" s="165"/>
      <c r="H736" s="165"/>
      <c r="I736" s="121"/>
      <c r="J736" s="121"/>
    </row>
    <row r="737" spans="1:10" s="149" customFormat="1">
      <c r="A737" s="101"/>
      <c r="B737" s="339" t="s">
        <v>6</v>
      </c>
      <c r="C737" s="100">
        <v>0.5</v>
      </c>
      <c r="D737" s="100" t="s">
        <v>114</v>
      </c>
      <c r="E737" s="102">
        <f>Lead!J66</f>
        <v>260</v>
      </c>
      <c r="F737" s="102">
        <f>E737*C737</f>
        <v>130</v>
      </c>
      <c r="G737" s="165"/>
      <c r="H737" s="165"/>
      <c r="I737" s="121"/>
      <c r="J737" s="121"/>
    </row>
    <row r="738" spans="1:10" s="149" customFormat="1">
      <c r="A738" s="101"/>
      <c r="B738" s="339" t="s">
        <v>27</v>
      </c>
      <c r="C738" s="100">
        <v>0.5</v>
      </c>
      <c r="D738" s="100" t="s">
        <v>114</v>
      </c>
      <c r="E738" s="1049">
        <f>Lead!E47</f>
        <v>200</v>
      </c>
      <c r="F738" s="102">
        <f>E738*C738</f>
        <v>100</v>
      </c>
      <c r="G738" s="165"/>
      <c r="H738" s="165"/>
      <c r="I738" s="121"/>
      <c r="J738" s="121"/>
    </row>
    <row r="739" spans="1:10" s="149" customFormat="1">
      <c r="A739" s="101"/>
      <c r="B739" s="332" t="s">
        <v>322</v>
      </c>
      <c r="C739" s="100"/>
      <c r="D739" s="1050" t="s">
        <v>116</v>
      </c>
      <c r="E739" s="1051">
        <f>SUM(F737:F738)</f>
        <v>230</v>
      </c>
      <c r="F739" s="1051">
        <f>E739*7.5%</f>
        <v>17.25</v>
      </c>
      <c r="G739" s="165"/>
      <c r="H739" s="165"/>
      <c r="I739" s="121"/>
      <c r="J739" s="121"/>
    </row>
    <row r="740" spans="1:10" s="149" customFormat="1">
      <c r="A740" s="101"/>
      <c r="B740" s="332" t="s">
        <v>322</v>
      </c>
      <c r="C740" s="100"/>
      <c r="D740" s="1050" t="s">
        <v>116</v>
      </c>
      <c r="E740" s="1051">
        <f>SUM(F737:F738)</f>
        <v>230</v>
      </c>
      <c r="F740" s="1051">
        <f>E740*7.5%</f>
        <v>17.25</v>
      </c>
      <c r="G740" s="165"/>
      <c r="H740" s="165"/>
      <c r="I740" s="121"/>
      <c r="J740" s="121"/>
    </row>
    <row r="741" spans="1:10" s="149" customFormat="1">
      <c r="A741" s="101"/>
      <c r="B741" s="339" t="s">
        <v>117</v>
      </c>
      <c r="C741" s="100"/>
      <c r="D741" s="100"/>
      <c r="E741" s="100"/>
      <c r="F741" s="102">
        <f>SUM(F737:F740)</f>
        <v>264.5</v>
      </c>
      <c r="G741" s="165"/>
      <c r="H741" s="165"/>
      <c r="I741" s="121"/>
      <c r="J741" s="121"/>
    </row>
    <row r="742" spans="1:10" s="149" customFormat="1">
      <c r="A742" s="101"/>
      <c r="B742" s="339" t="s">
        <v>12</v>
      </c>
      <c r="C742" s="100">
        <v>0.78120000000000001</v>
      </c>
      <c r="D742" s="100" t="s">
        <v>9</v>
      </c>
      <c r="E742" s="102">
        <v>108</v>
      </c>
      <c r="F742" s="102">
        <f>E742*C742</f>
        <v>84.369600000000005</v>
      </c>
      <c r="G742" s="165"/>
      <c r="H742" s="165"/>
      <c r="I742" s="121"/>
      <c r="J742" s="121"/>
    </row>
    <row r="743" spans="1:10" s="149" customFormat="1">
      <c r="A743" s="101"/>
      <c r="B743" s="339" t="s">
        <v>117</v>
      </c>
      <c r="C743" s="100"/>
      <c r="D743" s="100"/>
      <c r="E743" s="100"/>
      <c r="F743" s="102">
        <f>SUM(F741:F742)</f>
        <v>348.86959999999999</v>
      </c>
      <c r="G743" s="165"/>
      <c r="H743" s="165"/>
      <c r="I743" s="121"/>
      <c r="J743" s="121"/>
    </row>
    <row r="744" spans="1:10" s="149" customFormat="1">
      <c r="A744" s="101"/>
      <c r="B744" s="339" t="s">
        <v>3</v>
      </c>
      <c r="C744" s="100"/>
      <c r="D744" s="100"/>
      <c r="E744" s="100"/>
      <c r="F744" s="102">
        <f>F743/9.3</f>
        <v>37.512860215053763</v>
      </c>
      <c r="G744" s="165"/>
      <c r="H744" s="165"/>
      <c r="I744" s="121"/>
      <c r="J744" s="121"/>
    </row>
    <row r="745" spans="1:10" s="149" customFormat="1">
      <c r="A745" s="101"/>
      <c r="B745" s="339" t="s">
        <v>13</v>
      </c>
      <c r="C745" s="100"/>
      <c r="D745" s="100"/>
      <c r="E745" s="100"/>
      <c r="F745" s="102">
        <f>F744+F734+F724</f>
        <v>124.91386021505377</v>
      </c>
      <c r="G745" s="165"/>
      <c r="H745" s="165"/>
      <c r="I745" s="121"/>
      <c r="J745" s="121"/>
    </row>
    <row r="746" spans="1:10" s="149" customFormat="1">
      <c r="A746" s="101"/>
      <c r="B746" s="1055" t="s">
        <v>493</v>
      </c>
      <c r="C746" s="1050"/>
      <c r="D746" s="1050"/>
      <c r="E746" s="1050"/>
      <c r="F746" s="1051">
        <f>F745*0.01</f>
        <v>1.2491386021505377</v>
      </c>
      <c r="G746" s="165"/>
      <c r="H746" s="165"/>
      <c r="I746" s="121"/>
      <c r="J746" s="121"/>
    </row>
    <row r="747" spans="1:10" s="149" customFormat="1">
      <c r="A747" s="101"/>
      <c r="B747" s="1055" t="s">
        <v>117</v>
      </c>
      <c r="C747" s="1050"/>
      <c r="D747" s="1050"/>
      <c r="E747" s="1050"/>
      <c r="F747" s="1051">
        <f>SUM(F745:F746)</f>
        <v>126.16299881720431</v>
      </c>
      <c r="G747" s="165"/>
      <c r="H747" s="165"/>
      <c r="I747" s="121"/>
      <c r="J747" s="121"/>
    </row>
    <row r="748" spans="1:10" s="149" customFormat="1">
      <c r="A748" s="164"/>
      <c r="B748" s="1056"/>
      <c r="C748" s="1057"/>
      <c r="D748" s="1057"/>
      <c r="E748" s="1057" t="s">
        <v>120</v>
      </c>
      <c r="F748" s="1058">
        <f>ROUND(F747,1)</f>
        <v>126.2</v>
      </c>
      <c r="G748" s="165"/>
      <c r="H748" s="165"/>
      <c r="I748" s="121"/>
      <c r="J748" s="121"/>
    </row>
    <row r="749" spans="1:10" s="149" customFormat="1">
      <c r="A749" s="164"/>
      <c r="B749" s="1052" t="s">
        <v>71</v>
      </c>
      <c r="C749" s="1053"/>
      <c r="D749" s="1053"/>
      <c r="E749" s="1053"/>
      <c r="F749" s="1053"/>
      <c r="G749" s="165"/>
      <c r="H749" s="165"/>
      <c r="I749" s="121"/>
      <c r="J749" s="121"/>
    </row>
    <row r="750" spans="1:10" s="149" customFormat="1">
      <c r="A750" s="164"/>
      <c r="B750" s="339" t="s">
        <v>331</v>
      </c>
      <c r="C750" s="557"/>
      <c r="D750" s="557"/>
      <c r="E750" s="557"/>
      <c r="F750" s="557">
        <f>F747</f>
        <v>126.16299881720431</v>
      </c>
      <c r="G750" s="165"/>
      <c r="H750" s="165"/>
      <c r="I750" s="121"/>
      <c r="J750" s="121"/>
    </row>
    <row r="751" spans="1:10" s="149" customFormat="1">
      <c r="A751" s="164"/>
      <c r="B751" s="1054" t="s">
        <v>281</v>
      </c>
      <c r="C751" s="557"/>
      <c r="D751" s="100"/>
      <c r="E751" s="102">
        <f>((F726+F727+F728)+(F726+F727+F728)*0.15)/10+((F737+F738)+(F737+F738)*0.15)/9.3</f>
        <v>59.30686021505376</v>
      </c>
      <c r="F751" s="557">
        <f>E751*0.03</f>
        <v>1.7792058064516127</v>
      </c>
      <c r="G751" s="165"/>
      <c r="H751" s="165"/>
      <c r="I751" s="121"/>
      <c r="J751" s="121"/>
    </row>
    <row r="752" spans="1:10" s="149" customFormat="1">
      <c r="A752" s="164"/>
      <c r="B752" s="1055" t="s">
        <v>117</v>
      </c>
      <c r="C752" s="557"/>
      <c r="D752" s="557"/>
      <c r="E752" s="557"/>
      <c r="F752" s="557">
        <f>SUM(F750:F751)</f>
        <v>127.94220462365593</v>
      </c>
      <c r="G752" s="165"/>
      <c r="H752" s="165"/>
      <c r="I752" s="121"/>
      <c r="J752" s="121"/>
    </row>
    <row r="753" spans="1:12" s="149" customFormat="1">
      <c r="A753" s="164"/>
      <c r="B753" s="1056"/>
      <c r="C753" s="1053"/>
      <c r="D753" s="1053"/>
      <c r="E753" s="1053" t="s">
        <v>120</v>
      </c>
      <c r="F753" s="1053">
        <f>ROUND(F752,1)</f>
        <v>127.9</v>
      </c>
      <c r="G753" s="165"/>
      <c r="H753" s="165"/>
      <c r="I753" s="121"/>
      <c r="J753" s="121"/>
    </row>
    <row r="754" spans="1:12" s="149" customFormat="1">
      <c r="A754" s="164"/>
      <c r="B754" s="339" t="s">
        <v>267</v>
      </c>
      <c r="C754" s="557"/>
      <c r="D754" s="557"/>
      <c r="E754" s="557"/>
      <c r="F754" s="557"/>
      <c r="G754" s="165"/>
      <c r="H754" s="165"/>
      <c r="I754" s="121"/>
      <c r="J754" s="121"/>
    </row>
    <row r="755" spans="1:12" s="149" customFormat="1">
      <c r="A755" s="164"/>
      <c r="B755" s="339" t="s">
        <v>278</v>
      </c>
      <c r="C755" s="557"/>
      <c r="D755" s="557"/>
      <c r="E755" s="557"/>
      <c r="F755" s="557">
        <f>F752</f>
        <v>127.94220462365593</v>
      </c>
      <c r="G755" s="165"/>
      <c r="H755" s="165"/>
      <c r="I755" s="121"/>
      <c r="J755" s="121"/>
    </row>
    <row r="756" spans="1:12" s="149" customFormat="1">
      <c r="A756" s="164"/>
      <c r="B756" s="1054" t="s">
        <v>282</v>
      </c>
      <c r="C756" s="557"/>
      <c r="D756" s="557"/>
      <c r="E756" s="557">
        <f>E751+F751</f>
        <v>61.086066021505374</v>
      </c>
      <c r="F756" s="557">
        <f>E756*0.03</f>
        <v>1.8325819806451611</v>
      </c>
      <c r="G756" s="165"/>
      <c r="H756" s="165"/>
      <c r="I756" s="121"/>
      <c r="J756" s="121"/>
    </row>
    <row r="757" spans="1:12" s="149" customFormat="1">
      <c r="A757" s="164"/>
      <c r="B757" s="1055" t="s">
        <v>117</v>
      </c>
      <c r="C757" s="557"/>
      <c r="D757" s="557"/>
      <c r="E757" s="557"/>
      <c r="F757" s="557">
        <f>SUM(F755:F756)</f>
        <v>129.77478660430108</v>
      </c>
      <c r="G757" s="165"/>
      <c r="H757" s="165"/>
      <c r="I757" s="121"/>
      <c r="J757" s="121"/>
    </row>
    <row r="758" spans="1:12" s="149" customFormat="1">
      <c r="A758" s="164"/>
      <c r="B758" s="164"/>
      <c r="C758" s="165"/>
      <c r="D758" s="165"/>
      <c r="E758" s="1053" t="s">
        <v>120</v>
      </c>
      <c r="F758" s="1053">
        <f>ROUND(F757,1)</f>
        <v>129.80000000000001</v>
      </c>
      <c r="G758" s="165"/>
      <c r="H758" s="165"/>
      <c r="I758" s="121"/>
      <c r="J758" s="121"/>
    </row>
    <row r="759" spans="1:12" s="149" customFormat="1">
      <c r="A759" s="164"/>
      <c r="B759" s="1056"/>
      <c r="C759" s="1057"/>
      <c r="D759" s="1057"/>
      <c r="E759" s="1057"/>
      <c r="F759" s="1058"/>
      <c r="G759" s="165"/>
      <c r="H759" s="165"/>
      <c r="I759" s="121"/>
      <c r="J759" s="121"/>
    </row>
    <row r="760" spans="1:12" s="149" customFormat="1" ht="63.75" hidden="1">
      <c r="A760" s="101">
        <v>25</v>
      </c>
      <c r="B760" s="387" t="s">
        <v>531</v>
      </c>
      <c r="C760" s="805"/>
      <c r="D760" s="805"/>
      <c r="E760" s="805"/>
      <c r="F760" s="846"/>
      <c r="G760" s="846"/>
      <c r="H760" s="846"/>
      <c r="I760" s="388"/>
      <c r="J760" s="389"/>
      <c r="K760" s="388"/>
      <c r="L760" s="388"/>
    </row>
    <row r="761" spans="1:12" s="149" customFormat="1" hidden="1">
      <c r="A761" s="164"/>
      <c r="B761" s="1059"/>
      <c r="C761" s="846"/>
      <c r="D761" s="846"/>
      <c r="E761" s="846"/>
      <c r="F761" s="846"/>
      <c r="G761" s="846"/>
      <c r="H761" s="846"/>
      <c r="I761" s="388"/>
      <c r="J761" s="389"/>
      <c r="K761" s="388"/>
      <c r="L761" s="388"/>
    </row>
    <row r="762" spans="1:12" s="149" customFormat="1" hidden="1">
      <c r="A762" s="164"/>
      <c r="B762" s="1060" t="s">
        <v>532</v>
      </c>
      <c r="C762" s="846"/>
      <c r="D762" s="846"/>
      <c r="E762" s="846"/>
      <c r="F762" s="846"/>
      <c r="G762" s="846"/>
      <c r="H762" s="846"/>
      <c r="I762" s="388"/>
      <c r="J762" s="389"/>
      <c r="K762" s="388"/>
      <c r="L762" s="388"/>
    </row>
    <row r="763" spans="1:12" s="149" customFormat="1" hidden="1">
      <c r="A763" s="164"/>
      <c r="B763" s="127" t="s">
        <v>431</v>
      </c>
      <c r="C763" s="1061"/>
      <c r="D763" s="1061"/>
      <c r="E763" s="1061"/>
      <c r="F763" s="1061"/>
      <c r="G763" s="1061"/>
      <c r="H763" s="1061"/>
      <c r="I763" s="391"/>
      <c r="J763" s="392"/>
      <c r="K763" s="393"/>
      <c r="L763" s="388"/>
    </row>
    <row r="764" spans="1:12" s="149" customFormat="1" hidden="1">
      <c r="A764" s="164"/>
      <c r="B764" s="187" t="s">
        <v>533</v>
      </c>
      <c r="C764" s="807">
        <v>0.98</v>
      </c>
      <c r="D764" s="809" t="s">
        <v>388</v>
      </c>
      <c r="E764" s="807">
        <v>12.1</v>
      </c>
      <c r="F764" s="807">
        <f>E764*C764</f>
        <v>11.857999999999999</v>
      </c>
      <c r="G764" s="846"/>
      <c r="H764" s="165"/>
      <c r="I764" s="389"/>
      <c r="J764" s="121"/>
    </row>
    <row r="765" spans="1:12" s="149" customFormat="1" hidden="1">
      <c r="A765" s="164"/>
      <c r="B765" s="127" t="s">
        <v>534</v>
      </c>
      <c r="C765" s="808"/>
      <c r="D765" s="809"/>
      <c r="E765" s="807"/>
      <c r="F765" s="807"/>
      <c r="G765" s="846"/>
      <c r="H765" s="165"/>
      <c r="I765" s="394"/>
      <c r="J765" s="121"/>
    </row>
    <row r="766" spans="1:12" s="149" customFormat="1" hidden="1">
      <c r="A766" s="164"/>
      <c r="B766" s="188" t="s">
        <v>535</v>
      </c>
      <c r="C766" s="807"/>
      <c r="D766" s="809"/>
      <c r="E766" s="807"/>
      <c r="F766" s="807"/>
      <c r="G766" s="846"/>
      <c r="H766" s="165"/>
      <c r="I766" s="394"/>
      <c r="J766" s="121"/>
    </row>
    <row r="767" spans="1:12" s="149" customFormat="1" hidden="1">
      <c r="A767" s="164"/>
      <c r="B767" s="187" t="s">
        <v>536</v>
      </c>
      <c r="C767" s="846">
        <v>21.08</v>
      </c>
      <c r="D767" s="809" t="s">
        <v>537</v>
      </c>
      <c r="E767" s="807">
        <v>69.8</v>
      </c>
      <c r="F767" s="807">
        <f>E767*C767</f>
        <v>1471.3839999999998</v>
      </c>
      <c r="G767" s="846"/>
      <c r="H767" s="165"/>
      <c r="I767" s="389"/>
      <c r="J767" s="121"/>
    </row>
    <row r="768" spans="1:12" s="149" customFormat="1" hidden="1">
      <c r="A768" s="164"/>
      <c r="B768" s="1062" t="s">
        <v>538</v>
      </c>
      <c r="C768" s="846"/>
      <c r="D768" s="846"/>
      <c r="E768" s="846"/>
      <c r="F768" s="807">
        <f>F764+F767</f>
        <v>1483.2419999999997</v>
      </c>
      <c r="G768" s="809" t="s">
        <v>539</v>
      </c>
      <c r="H768" s="165"/>
      <c r="I768" s="389"/>
      <c r="J768" s="121"/>
    </row>
    <row r="769" spans="1:11" s="149" customFormat="1" hidden="1">
      <c r="A769" s="164"/>
      <c r="B769" s="1063" t="s">
        <v>540</v>
      </c>
      <c r="C769" s="846"/>
      <c r="D769" s="846"/>
      <c r="E769" s="807"/>
      <c r="F769" s="807">
        <f>F768/21.08</f>
        <v>70.362523719165083</v>
      </c>
      <c r="G769" s="809" t="s">
        <v>541</v>
      </c>
      <c r="H769" s="165"/>
      <c r="I769" s="389"/>
      <c r="J769" s="121"/>
    </row>
    <row r="770" spans="1:11" s="149" customFormat="1" hidden="1">
      <c r="A770" s="164"/>
      <c r="B770" s="1064" t="s">
        <v>515</v>
      </c>
      <c r="C770" s="1065"/>
      <c r="D770" s="1065"/>
      <c r="E770" s="1065"/>
      <c r="F770" s="1058">
        <f>F769*1%</f>
        <v>0.70362523719165082</v>
      </c>
      <c r="G770" s="1066"/>
      <c r="H770" s="165"/>
      <c r="I770" s="399"/>
      <c r="J770" s="121"/>
    </row>
    <row r="771" spans="1:11" s="149" customFormat="1" hidden="1">
      <c r="A771" s="164"/>
      <c r="B771" s="1067"/>
      <c r="C771" s="1065"/>
      <c r="D771" s="1065"/>
      <c r="E771" s="1068"/>
      <c r="F771" s="812">
        <f>SUM(F769:F770)</f>
        <v>71.066148956356727</v>
      </c>
      <c r="G771" s="809" t="s">
        <v>541</v>
      </c>
      <c r="H771" s="165"/>
      <c r="I771" s="399"/>
      <c r="J771" s="121"/>
    </row>
    <row r="772" spans="1:11" s="149" customFormat="1" hidden="1">
      <c r="A772" s="164"/>
      <c r="B772" s="1063"/>
      <c r="C772" s="846"/>
      <c r="D772" s="846"/>
      <c r="E772" s="1069" t="s">
        <v>542</v>
      </c>
      <c r="F772" s="831">
        <f>ROUND(F771,1)</f>
        <v>71.099999999999994</v>
      </c>
      <c r="G772" s="809" t="s">
        <v>541</v>
      </c>
      <c r="H772" s="165"/>
      <c r="I772" s="399"/>
      <c r="J772" s="121"/>
    </row>
    <row r="773" spans="1:11" s="149" customFormat="1" hidden="1">
      <c r="A773" s="164"/>
      <c r="B773" s="164"/>
      <c r="C773" s="165"/>
      <c r="D773" s="165"/>
      <c r="E773" s="165"/>
      <c r="F773" s="165"/>
      <c r="G773" s="165"/>
      <c r="H773" s="165"/>
      <c r="I773" s="121"/>
      <c r="J773" s="121"/>
    </row>
    <row r="774" spans="1:11" s="149" customFormat="1" hidden="1">
      <c r="A774" s="164"/>
      <c r="B774" s="164"/>
      <c r="C774" s="165"/>
      <c r="D774" s="165"/>
      <c r="E774" s="165"/>
      <c r="F774" s="165"/>
      <c r="G774" s="165"/>
      <c r="H774" s="165"/>
      <c r="I774" s="121"/>
      <c r="J774" s="121"/>
    </row>
    <row r="775" spans="1:11" s="149" customFormat="1" ht="114.75" hidden="1">
      <c r="A775" s="101">
        <v>26</v>
      </c>
      <c r="B775" s="460" t="s">
        <v>462</v>
      </c>
      <c r="C775" s="165"/>
      <c r="D775" s="165"/>
      <c r="E775" s="165"/>
      <c r="F775" s="165"/>
      <c r="G775" s="165"/>
      <c r="H775" s="165"/>
      <c r="I775" s="121"/>
      <c r="J775" s="121"/>
    </row>
    <row r="776" spans="1:11" s="149" customFormat="1" hidden="1">
      <c r="A776" s="164"/>
      <c r="B776" s="164" t="s">
        <v>545</v>
      </c>
      <c r="C776" s="1251" t="s">
        <v>546</v>
      </c>
      <c r="D776" s="1251"/>
      <c r="E776" s="165"/>
      <c r="F776" s="165"/>
      <c r="G776" s="165">
        <f>C778+C779+C780</f>
        <v>34.159999999999997</v>
      </c>
      <c r="H776" s="165"/>
      <c r="I776" s="121"/>
      <c r="J776" s="121"/>
    </row>
    <row r="777" spans="1:11" s="149" customFormat="1" hidden="1">
      <c r="A777" s="164"/>
      <c r="B777" s="164" t="s">
        <v>502</v>
      </c>
      <c r="C777" s="501"/>
      <c r="D777" s="165"/>
      <c r="E777" s="165"/>
      <c r="F777" s="173"/>
      <c r="G777" s="165"/>
      <c r="H777" s="165"/>
      <c r="I777" s="121"/>
      <c r="J777" s="121"/>
      <c r="K777" s="402"/>
    </row>
    <row r="778" spans="1:11" s="149" customFormat="1" ht="25.5" hidden="1">
      <c r="A778" s="164"/>
      <c r="B778" s="1070" t="s">
        <v>547</v>
      </c>
      <c r="C778" s="165">
        <v>11.41</v>
      </c>
      <c r="D778" s="165" t="s">
        <v>18</v>
      </c>
      <c r="E778" s="173">
        <v>240.24</v>
      </c>
      <c r="F778" s="173">
        <f>E778*C778</f>
        <v>2741.1384000000003</v>
      </c>
      <c r="G778" s="165"/>
      <c r="H778" s="165"/>
      <c r="I778" s="121"/>
      <c r="J778" s="121"/>
    </row>
    <row r="779" spans="1:11" s="149" customFormat="1" ht="27" hidden="1" customHeight="1">
      <c r="A779" s="164"/>
      <c r="B779" s="1070" t="s">
        <v>548</v>
      </c>
      <c r="C779" s="165">
        <v>6.12</v>
      </c>
      <c r="D779" s="165" t="s">
        <v>18</v>
      </c>
      <c r="E779" s="173">
        <v>256.62</v>
      </c>
      <c r="F779" s="173">
        <f>E779*C779</f>
        <v>1570.5144</v>
      </c>
      <c r="G779" s="165"/>
      <c r="H779" s="165"/>
      <c r="I779" s="121"/>
      <c r="J779" s="121"/>
    </row>
    <row r="780" spans="1:11" s="149" customFormat="1" ht="38.25" hidden="1">
      <c r="A780" s="164"/>
      <c r="B780" s="1070" t="s">
        <v>549</v>
      </c>
      <c r="C780" s="165">
        <v>16.63</v>
      </c>
      <c r="D780" s="165" t="s">
        <v>18</v>
      </c>
      <c r="E780" s="173">
        <v>256.62</v>
      </c>
      <c r="F780" s="173">
        <f>E780*C780</f>
        <v>4267.5905999999995</v>
      </c>
      <c r="G780" s="165"/>
      <c r="H780" s="165"/>
      <c r="I780" s="121"/>
      <c r="J780" s="121"/>
    </row>
    <row r="781" spans="1:11" s="149" customFormat="1" hidden="1">
      <c r="A781" s="164"/>
      <c r="B781" s="164"/>
      <c r="C781" s="165"/>
      <c r="D781" s="165"/>
      <c r="E781" s="173"/>
      <c r="F781" s="173"/>
      <c r="G781" s="165"/>
      <c r="H781" s="165"/>
      <c r="I781" s="121"/>
      <c r="J781" s="121"/>
    </row>
    <row r="782" spans="1:11" s="149" customFormat="1" hidden="1">
      <c r="A782" s="164"/>
      <c r="B782" s="164" t="s">
        <v>550</v>
      </c>
      <c r="C782" s="165"/>
      <c r="D782" s="165"/>
      <c r="E782" s="165"/>
      <c r="F782" s="173"/>
      <c r="G782" s="165"/>
      <c r="H782" s="165"/>
      <c r="I782" s="121"/>
      <c r="J782" s="121"/>
    </row>
    <row r="783" spans="1:11" s="149" customFormat="1" hidden="1">
      <c r="A783" s="164"/>
      <c r="B783" s="164" t="s">
        <v>551</v>
      </c>
      <c r="C783" s="165">
        <v>34.159999999999997</v>
      </c>
      <c r="D783" s="165" t="s">
        <v>18</v>
      </c>
      <c r="E783" s="173">
        <v>10</v>
      </c>
      <c r="F783" s="173">
        <f>E783*C783</f>
        <v>341.59999999999997</v>
      </c>
      <c r="G783" s="165"/>
      <c r="H783" s="165"/>
      <c r="I783" s="121"/>
      <c r="J783" s="121"/>
    </row>
    <row r="784" spans="1:11" s="149" customFormat="1" hidden="1">
      <c r="A784" s="164"/>
      <c r="B784" s="164"/>
      <c r="C784" s="165"/>
      <c r="D784" s="165"/>
      <c r="E784" s="173"/>
      <c r="F784" s="173"/>
      <c r="G784" s="165"/>
      <c r="H784" s="165"/>
      <c r="I784" s="121"/>
      <c r="J784" s="121"/>
    </row>
    <row r="785" spans="1:10" s="149" customFormat="1" hidden="1">
      <c r="A785" s="164"/>
      <c r="B785" s="164" t="s">
        <v>505</v>
      </c>
      <c r="C785" s="165"/>
      <c r="D785" s="165"/>
      <c r="E785" s="165"/>
      <c r="F785" s="165"/>
      <c r="G785" s="165"/>
      <c r="H785" s="165"/>
      <c r="I785" s="121"/>
      <c r="J785" s="121"/>
    </row>
    <row r="786" spans="1:10" s="149" customFormat="1" hidden="1">
      <c r="A786" s="164"/>
      <c r="B786" s="164" t="s">
        <v>552</v>
      </c>
      <c r="C786" s="173">
        <v>0.89</v>
      </c>
      <c r="D786" s="165" t="s">
        <v>506</v>
      </c>
      <c r="E786" s="173">
        <f>Lead!E64</f>
        <v>260</v>
      </c>
      <c r="F786" s="173">
        <f>E786*C786</f>
        <v>231.4</v>
      </c>
      <c r="G786" s="165"/>
      <c r="H786" s="165"/>
      <c r="I786" s="121"/>
      <c r="J786" s="121"/>
    </row>
    <row r="787" spans="1:10" s="149" customFormat="1" hidden="1">
      <c r="A787" s="164"/>
      <c r="B787" s="164" t="s">
        <v>553</v>
      </c>
      <c r="C787" s="173">
        <v>0.89</v>
      </c>
      <c r="D787" s="165" t="s">
        <v>506</v>
      </c>
      <c r="E787" s="173">
        <f>Lead!E54</f>
        <v>220</v>
      </c>
      <c r="F787" s="173">
        <f>E787*C787</f>
        <v>195.8</v>
      </c>
      <c r="G787" s="165"/>
      <c r="H787" s="165"/>
      <c r="I787" s="121"/>
      <c r="J787" s="121"/>
    </row>
    <row r="788" spans="1:10" s="149" customFormat="1" hidden="1">
      <c r="A788" s="164"/>
      <c r="B788" s="164"/>
      <c r="C788" s="173"/>
      <c r="D788" s="165"/>
      <c r="E788" s="173"/>
      <c r="F788" s="173">
        <f>SUM(F778:F787)</f>
        <v>9348.0433999999987</v>
      </c>
      <c r="G788" s="165"/>
      <c r="H788" s="165"/>
      <c r="I788" s="121"/>
      <c r="J788" s="121"/>
    </row>
    <row r="789" spans="1:10" s="149" customFormat="1" hidden="1">
      <c r="A789" s="164"/>
      <c r="B789" s="164" t="s">
        <v>512</v>
      </c>
      <c r="C789" s="165"/>
      <c r="D789" s="165"/>
      <c r="E789" s="165"/>
      <c r="F789" s="173">
        <f>F788*7.5%</f>
        <v>701.10325499999988</v>
      </c>
      <c r="G789" s="165"/>
      <c r="H789" s="165"/>
      <c r="I789" s="121"/>
      <c r="J789" s="121"/>
    </row>
    <row r="790" spans="1:10" s="149" customFormat="1" hidden="1">
      <c r="A790" s="164"/>
      <c r="B790" s="164" t="s">
        <v>498</v>
      </c>
      <c r="C790" s="165"/>
      <c r="D790" s="165"/>
      <c r="E790" s="165"/>
      <c r="F790" s="173">
        <f>F788*7.5%</f>
        <v>701.10325499999988</v>
      </c>
      <c r="G790" s="165"/>
      <c r="H790" s="165"/>
      <c r="I790" s="121"/>
      <c r="J790" s="121"/>
    </row>
    <row r="791" spans="1:10" s="149" customFormat="1" hidden="1">
      <c r="A791" s="164"/>
      <c r="B791" s="164"/>
      <c r="C791" s="165"/>
      <c r="D791" s="165"/>
      <c r="E791" s="173"/>
      <c r="F791" s="173">
        <v>10840.1050082</v>
      </c>
      <c r="G791" s="100" t="s">
        <v>1212</v>
      </c>
      <c r="H791" s="165"/>
      <c r="I791" s="121"/>
      <c r="J791" s="121"/>
    </row>
    <row r="792" spans="1:10" s="149" customFormat="1" hidden="1">
      <c r="A792" s="164"/>
      <c r="B792" s="171" t="s">
        <v>1211</v>
      </c>
      <c r="C792" s="165"/>
      <c r="D792" s="173"/>
      <c r="E792" s="100"/>
      <c r="F792" s="173">
        <f>F791/3.26</f>
        <v>3325.1855853374236</v>
      </c>
      <c r="G792" s="100" t="s">
        <v>1059</v>
      </c>
      <c r="H792" s="165"/>
      <c r="I792" s="121"/>
      <c r="J792" s="121"/>
    </row>
    <row r="793" spans="1:10" s="149" customFormat="1" hidden="1">
      <c r="A793" s="164"/>
      <c r="B793" s="164" t="s">
        <v>515</v>
      </c>
      <c r="C793" s="165"/>
      <c r="D793" s="165"/>
      <c r="E793" s="165"/>
      <c r="F793" s="173">
        <f>F792*1%</f>
        <v>33.251855853374238</v>
      </c>
      <c r="G793" s="165"/>
      <c r="H793" s="165"/>
      <c r="I793" s="121"/>
      <c r="J793" s="121"/>
    </row>
    <row r="794" spans="1:10" s="149" customFormat="1" hidden="1">
      <c r="A794" s="174"/>
      <c r="B794" s="1056"/>
      <c r="C794" s="1058"/>
      <c r="D794" s="1058"/>
      <c r="E794" s="1058"/>
      <c r="F794" s="1058">
        <f>SUM(F792:F793)</f>
        <v>3358.4374411907979</v>
      </c>
      <c r="G794" s="100" t="s">
        <v>1059</v>
      </c>
      <c r="H794" s="165"/>
      <c r="I794" s="121"/>
      <c r="J794" s="121"/>
    </row>
    <row r="795" spans="1:10" s="149" customFormat="1" hidden="1">
      <c r="A795" s="174"/>
      <c r="B795" s="1056"/>
      <c r="C795" s="1058"/>
      <c r="D795" s="1058"/>
      <c r="E795" s="1058"/>
      <c r="F795" s="1058">
        <f>ROUND(F794,0)</f>
        <v>3358</v>
      </c>
      <c r="G795" s="100" t="s">
        <v>434</v>
      </c>
      <c r="H795" s="165"/>
      <c r="I795" s="121"/>
      <c r="J795" s="121"/>
    </row>
    <row r="796" spans="1:10" s="149" customFormat="1" ht="14.25" hidden="1" customHeight="1">
      <c r="A796" s="174"/>
      <c r="B796" s="1056"/>
      <c r="C796" s="1057"/>
      <c r="D796" s="1057"/>
      <c r="E796" s="1057"/>
      <c r="F796" s="1058"/>
      <c r="G796" s="165"/>
      <c r="H796" s="165"/>
      <c r="I796" s="121"/>
      <c r="J796" s="121"/>
    </row>
    <row r="797" spans="1:10" s="20" customFormat="1" hidden="1">
      <c r="A797" s="174" t="s">
        <v>38</v>
      </c>
      <c r="B797" s="1052" t="s">
        <v>71</v>
      </c>
      <c r="C797" s="1053"/>
      <c r="D797" s="1053"/>
      <c r="E797" s="1053"/>
      <c r="F797" s="1053"/>
      <c r="G797" s="100"/>
      <c r="H797" s="100"/>
    </row>
    <row r="798" spans="1:10" s="20" customFormat="1" hidden="1">
      <c r="A798" s="174"/>
      <c r="B798" s="339" t="s">
        <v>333</v>
      </c>
      <c r="C798" s="557"/>
      <c r="D798" s="557"/>
      <c r="E798" s="557"/>
      <c r="F798" s="557">
        <f>F794</f>
        <v>3358.4374411907979</v>
      </c>
      <c r="G798" s="100"/>
      <c r="H798" s="100"/>
    </row>
    <row r="799" spans="1:10" s="20" customFormat="1" hidden="1">
      <c r="A799" s="174"/>
      <c r="B799" s="1054" t="s">
        <v>280</v>
      </c>
      <c r="C799" s="557"/>
      <c r="D799" s="100"/>
      <c r="E799" s="557">
        <f>((F786+F787)+(F786+F787)*0.15)/10</f>
        <v>49.128</v>
      </c>
      <c r="F799" s="557">
        <f>E799*0.05</f>
        <v>2.4564000000000004</v>
      </c>
      <c r="G799" s="100"/>
      <c r="H799" s="100"/>
    </row>
    <row r="800" spans="1:10" s="20" customFormat="1" hidden="1">
      <c r="A800" s="174"/>
      <c r="B800" s="339" t="s">
        <v>117</v>
      </c>
      <c r="C800" s="557"/>
      <c r="D800" s="557"/>
      <c r="E800" s="557"/>
      <c r="F800" s="557">
        <f>SUM(F798:F799)</f>
        <v>3360.893841190798</v>
      </c>
      <c r="G800" s="100"/>
      <c r="H800" s="100"/>
    </row>
    <row r="801" spans="1:10" s="20" customFormat="1" hidden="1">
      <c r="A801" s="174"/>
      <c r="B801" s="1056"/>
      <c r="C801" s="1053"/>
      <c r="D801" s="1053"/>
      <c r="E801" s="1053" t="s">
        <v>120</v>
      </c>
      <c r="F801" s="1053">
        <f>ROUND(F800,1)</f>
        <v>3360.9</v>
      </c>
      <c r="G801" s="100"/>
      <c r="H801" s="100"/>
    </row>
    <row r="802" spans="1:10" s="20" customFormat="1" hidden="1">
      <c r="A802" s="100" t="s">
        <v>39</v>
      </c>
      <c r="B802" s="339" t="s">
        <v>267</v>
      </c>
      <c r="C802" s="102"/>
      <c r="D802" s="102"/>
      <c r="E802" s="102"/>
      <c r="F802" s="102"/>
      <c r="G802" s="100"/>
      <c r="H802" s="100"/>
    </row>
    <row r="803" spans="1:10" s="20" customFormat="1" hidden="1">
      <c r="A803" s="100"/>
      <c r="B803" s="339" t="s">
        <v>278</v>
      </c>
      <c r="C803" s="102"/>
      <c r="D803" s="102"/>
      <c r="E803" s="102"/>
      <c r="F803" s="102">
        <f>F800</f>
        <v>3360.893841190798</v>
      </c>
      <c r="G803" s="100"/>
      <c r="H803" s="100"/>
    </row>
    <row r="804" spans="1:10" s="20" customFormat="1" hidden="1">
      <c r="A804" s="100"/>
      <c r="B804" s="1054" t="s">
        <v>282</v>
      </c>
      <c r="C804" s="102"/>
      <c r="D804" s="102"/>
      <c r="E804" s="102">
        <f>E799+F799</f>
        <v>51.584400000000002</v>
      </c>
      <c r="F804" s="102">
        <f>E804*0.03</f>
        <v>1.5475319999999999</v>
      </c>
      <c r="G804" s="100"/>
      <c r="H804" s="100"/>
    </row>
    <row r="805" spans="1:10" s="20" customFormat="1" hidden="1">
      <c r="A805" s="100"/>
      <c r="B805" s="1055" t="s">
        <v>117</v>
      </c>
      <c r="C805" s="102"/>
      <c r="D805" s="102"/>
      <c r="E805" s="102"/>
      <c r="F805" s="102">
        <f>SUM(F803:F804)</f>
        <v>3362.441373190798</v>
      </c>
      <c r="G805" s="100"/>
      <c r="H805" s="100"/>
    </row>
    <row r="806" spans="1:10" s="20" customFormat="1" hidden="1">
      <c r="A806" s="100"/>
      <c r="B806" s="1056"/>
      <c r="C806" s="1058"/>
      <c r="D806" s="1058"/>
      <c r="E806" s="1058" t="s">
        <v>120</v>
      </c>
      <c r="F806" s="1058">
        <f>ROUND(F805,1)</f>
        <v>3362.4</v>
      </c>
      <c r="G806" s="102"/>
      <c r="H806" s="100"/>
    </row>
    <row r="807" spans="1:10" s="149" customFormat="1" hidden="1">
      <c r="A807" s="164"/>
      <c r="B807" s="164"/>
      <c r="C807" s="165"/>
      <c r="D807" s="165"/>
      <c r="E807" s="165"/>
      <c r="F807" s="165"/>
      <c r="G807" s="165"/>
      <c r="H807" s="165"/>
      <c r="I807" s="121"/>
      <c r="J807" s="121"/>
    </row>
    <row r="808" spans="1:10" s="149" customFormat="1" hidden="1">
      <c r="A808" s="164"/>
      <c r="B808" s="164"/>
      <c r="C808" s="165"/>
      <c r="D808" s="165"/>
      <c r="E808" s="165"/>
      <c r="F808" s="165"/>
      <c r="G808" s="165"/>
      <c r="H808" s="165"/>
      <c r="I808" s="121"/>
      <c r="J808" s="121"/>
    </row>
    <row r="809" spans="1:10" s="149" customFormat="1" ht="127.5" hidden="1">
      <c r="A809" s="101">
        <v>27</v>
      </c>
      <c r="B809" s="137" t="s">
        <v>652</v>
      </c>
      <c r="C809" s="165"/>
      <c r="D809" s="165"/>
      <c r="E809" s="165"/>
      <c r="F809" s="165"/>
      <c r="G809" s="165"/>
      <c r="H809" s="165"/>
      <c r="I809" s="121"/>
      <c r="J809" s="121"/>
    </row>
    <row r="810" spans="1:10" s="149" customFormat="1" hidden="1">
      <c r="A810" s="164"/>
      <c r="B810" s="164" t="s">
        <v>653</v>
      </c>
      <c r="C810" s="173"/>
      <c r="D810" s="165"/>
      <c r="E810" s="1071"/>
      <c r="F810" s="1071"/>
      <c r="G810" s="165"/>
      <c r="H810" s="165"/>
      <c r="I810" s="121"/>
      <c r="J810" s="121"/>
    </row>
    <row r="811" spans="1:10" s="149" customFormat="1" hidden="1">
      <c r="A811" s="164"/>
      <c r="B811" s="172" t="s">
        <v>654</v>
      </c>
      <c r="C811" s="173">
        <v>11</v>
      </c>
      <c r="D811" s="100" t="s">
        <v>32</v>
      </c>
      <c r="E811" s="1071">
        <v>640</v>
      </c>
      <c r="F811" s="1071">
        <f>E811*C811</f>
        <v>7040</v>
      </c>
      <c r="G811" s="165"/>
      <c r="H811" s="165"/>
      <c r="I811" s="121"/>
      <c r="J811" s="404"/>
    </row>
    <row r="812" spans="1:10" s="149" customFormat="1" hidden="1">
      <c r="A812" s="164"/>
      <c r="B812" s="164" t="s">
        <v>162</v>
      </c>
      <c r="C812" s="173">
        <v>0.5</v>
      </c>
      <c r="D812" s="100" t="s">
        <v>25</v>
      </c>
      <c r="E812" s="1071">
        <f>Lead!E20</f>
        <v>55</v>
      </c>
      <c r="F812" s="165">
        <f>E812*C812</f>
        <v>27.5</v>
      </c>
      <c r="G812" s="165"/>
      <c r="H812" s="165"/>
      <c r="I812" s="121"/>
      <c r="J812" s="404"/>
    </row>
    <row r="813" spans="1:10" s="149" customFormat="1" hidden="1">
      <c r="A813" s="164"/>
      <c r="B813" s="164" t="s">
        <v>655</v>
      </c>
      <c r="C813" s="173">
        <v>1</v>
      </c>
      <c r="D813" s="100" t="s">
        <v>174</v>
      </c>
      <c r="E813" s="1071">
        <v>106</v>
      </c>
      <c r="F813" s="165">
        <f>E813*C813</f>
        <v>106</v>
      </c>
      <c r="G813" s="165"/>
      <c r="H813" s="165"/>
      <c r="I813" s="121"/>
      <c r="J813" s="404"/>
    </row>
    <row r="814" spans="1:10" s="149" customFormat="1" hidden="1">
      <c r="A814" s="164"/>
      <c r="B814" s="164" t="s">
        <v>152</v>
      </c>
      <c r="C814" s="173"/>
      <c r="D814" s="165"/>
      <c r="E814" s="165"/>
      <c r="F814" s="1071"/>
      <c r="G814" s="165"/>
      <c r="H814" s="165"/>
      <c r="I814" s="121"/>
      <c r="J814" s="404"/>
    </row>
    <row r="815" spans="1:10" s="149" customFormat="1" hidden="1">
      <c r="A815" s="164"/>
      <c r="B815" s="164" t="s">
        <v>155</v>
      </c>
      <c r="C815" s="173">
        <v>1.5</v>
      </c>
      <c r="D815" s="100" t="s">
        <v>64</v>
      </c>
      <c r="E815" s="173">
        <f>Lead!E64</f>
        <v>260</v>
      </c>
      <c r="F815" s="1071">
        <f>E815*C815</f>
        <v>390</v>
      </c>
      <c r="G815" s="165"/>
      <c r="H815" s="165"/>
      <c r="I815" s="121"/>
      <c r="J815" s="404"/>
    </row>
    <row r="816" spans="1:10" s="149" customFormat="1" hidden="1">
      <c r="A816" s="164"/>
      <c r="B816" s="164" t="s">
        <v>113</v>
      </c>
      <c r="C816" s="173">
        <v>2</v>
      </c>
      <c r="D816" s="100" t="s">
        <v>64</v>
      </c>
      <c r="E816" s="173">
        <f>Lead!E47</f>
        <v>200</v>
      </c>
      <c r="F816" s="1071">
        <f>E816*C816</f>
        <v>400</v>
      </c>
      <c r="G816" s="165"/>
      <c r="H816" s="165"/>
      <c r="I816" s="121"/>
      <c r="J816" s="404"/>
    </row>
    <row r="817" spans="1:10" s="149" customFormat="1" hidden="1">
      <c r="A817" s="164"/>
      <c r="B817" s="164"/>
      <c r="C817" s="173"/>
      <c r="D817" s="100"/>
      <c r="E817" s="173"/>
      <c r="F817" s="1071">
        <f>SUM(F811:F816)</f>
        <v>7963.5</v>
      </c>
      <c r="G817" s="165"/>
      <c r="H817" s="165"/>
      <c r="I817" s="121"/>
      <c r="J817" s="404"/>
    </row>
    <row r="818" spans="1:10" s="149" customFormat="1" hidden="1">
      <c r="A818" s="164"/>
      <c r="B818" s="171" t="s">
        <v>658</v>
      </c>
      <c r="C818" s="173"/>
      <c r="D818" s="165"/>
      <c r="E818" s="165"/>
      <c r="F818" s="1071">
        <f>F817*15%</f>
        <v>1194.5249999999999</v>
      </c>
      <c r="G818" s="165"/>
      <c r="H818" s="165"/>
      <c r="I818" s="121"/>
      <c r="J818" s="404"/>
    </row>
    <row r="819" spans="1:10" s="149" customFormat="1" hidden="1">
      <c r="A819" s="164"/>
      <c r="B819" s="171"/>
      <c r="C819" s="173"/>
      <c r="D819" s="165"/>
      <c r="E819" s="165"/>
      <c r="F819" s="1071">
        <f>F817+F818</f>
        <v>9158.0249999999996</v>
      </c>
      <c r="G819" s="165"/>
      <c r="H819" s="165"/>
      <c r="I819" s="121"/>
      <c r="J819" s="404"/>
    </row>
    <row r="820" spans="1:10" s="149" customFormat="1" hidden="1">
      <c r="A820" s="164"/>
      <c r="B820" s="164" t="s">
        <v>124</v>
      </c>
      <c r="C820" s="173"/>
      <c r="D820" s="165"/>
      <c r="E820" s="165"/>
      <c r="F820" s="1071"/>
      <c r="G820" s="165"/>
      <c r="H820" s="165"/>
      <c r="I820" s="121"/>
      <c r="J820" s="404"/>
    </row>
    <row r="821" spans="1:10" s="149" customFormat="1" ht="25.5" hidden="1">
      <c r="A821" s="164"/>
      <c r="B821" s="172" t="s">
        <v>657</v>
      </c>
      <c r="C821" s="173"/>
      <c r="D821" s="100"/>
      <c r="E821" s="165"/>
      <c r="F821" s="1071">
        <v>493.85</v>
      </c>
      <c r="G821" s="165"/>
      <c r="H821" s="165"/>
      <c r="I821" s="121"/>
      <c r="J821" s="404"/>
    </row>
    <row r="822" spans="1:10" s="149" customFormat="1" hidden="1">
      <c r="A822" s="164"/>
      <c r="B822" s="164" t="s">
        <v>151</v>
      </c>
      <c r="C822" s="173">
        <v>0.5</v>
      </c>
      <c r="D822" s="100" t="s">
        <v>25</v>
      </c>
      <c r="E822" s="165">
        <f>Lead!J20</f>
        <v>196.4</v>
      </c>
      <c r="F822" s="1071">
        <f>E822*C822</f>
        <v>98.2</v>
      </c>
      <c r="G822" s="165"/>
      <c r="H822" s="165"/>
      <c r="I822" s="121"/>
      <c r="J822" s="404"/>
    </row>
    <row r="823" spans="1:10" s="149" customFormat="1" hidden="1">
      <c r="A823" s="164"/>
      <c r="B823" s="164" t="s">
        <v>117</v>
      </c>
      <c r="C823" s="173"/>
      <c r="D823" s="165"/>
      <c r="E823" s="1071"/>
      <c r="F823" s="1071">
        <f>F819+F821+F822</f>
        <v>9750.0750000000007</v>
      </c>
      <c r="G823" s="165"/>
      <c r="H823" s="165"/>
      <c r="I823" s="121"/>
      <c r="J823" s="404"/>
    </row>
    <row r="824" spans="1:10" s="149" customFormat="1" hidden="1">
      <c r="A824" s="164"/>
      <c r="B824" s="164" t="s">
        <v>60</v>
      </c>
      <c r="C824" s="173"/>
      <c r="D824" s="165"/>
      <c r="E824" s="1071"/>
      <c r="F824" s="165">
        <f>F823/10</f>
        <v>975.00750000000005</v>
      </c>
      <c r="G824" s="165"/>
      <c r="H824" s="165"/>
      <c r="I824" s="121"/>
      <c r="J824" s="404"/>
    </row>
    <row r="825" spans="1:10" s="149" customFormat="1" hidden="1">
      <c r="A825" s="164"/>
      <c r="B825" s="164" t="s">
        <v>493</v>
      </c>
      <c r="C825" s="165"/>
      <c r="D825" s="165"/>
      <c r="E825" s="165"/>
      <c r="F825" s="173">
        <f>F824*1%</f>
        <v>9.7500750000000007</v>
      </c>
      <c r="G825" s="165"/>
      <c r="H825" s="165"/>
      <c r="I825" s="121"/>
      <c r="J825" s="404"/>
    </row>
    <row r="826" spans="1:10" s="149" customFormat="1" hidden="1">
      <c r="A826" s="164"/>
      <c r="B826" s="164" t="s">
        <v>117</v>
      </c>
      <c r="C826" s="165"/>
      <c r="D826" s="165"/>
      <c r="E826" s="165"/>
      <c r="F826" s="173">
        <f>F824+F825</f>
        <v>984.75757500000009</v>
      </c>
      <c r="G826" s="165" t="s">
        <v>544</v>
      </c>
      <c r="H826" s="165"/>
      <c r="I826" s="121"/>
      <c r="J826" s="404"/>
    </row>
    <row r="827" spans="1:10" s="149" customFormat="1" hidden="1">
      <c r="A827" s="164"/>
      <c r="B827" s="164"/>
      <c r="C827" s="165"/>
      <c r="D827" s="165"/>
      <c r="E827" s="165" t="s">
        <v>120</v>
      </c>
      <c r="F827" s="173">
        <f>ROUND(F826,0)</f>
        <v>985</v>
      </c>
      <c r="G827" s="165"/>
      <c r="H827" s="165"/>
      <c r="I827" s="121"/>
      <c r="J827" s="120"/>
    </row>
    <row r="828" spans="1:10" s="149" customFormat="1" ht="51" hidden="1">
      <c r="A828" s="101">
        <v>28</v>
      </c>
      <c r="B828" s="460" t="s">
        <v>1045</v>
      </c>
      <c r="C828" s="501"/>
      <c r="D828" s="173"/>
      <c r="E828" s="173"/>
      <c r="F828" s="173"/>
      <c r="G828" s="173"/>
      <c r="H828" s="165"/>
      <c r="I828" s="121"/>
      <c r="J828" s="121"/>
    </row>
    <row r="829" spans="1:10" s="149" customFormat="1" hidden="1">
      <c r="A829" s="164"/>
      <c r="B829" s="333" t="s">
        <v>916</v>
      </c>
      <c r="C829" s="501"/>
      <c r="D829" s="173"/>
      <c r="E829" s="173"/>
      <c r="F829" s="173"/>
      <c r="G829" s="173"/>
      <c r="H829" s="165"/>
      <c r="I829" s="121"/>
      <c r="J829" s="121"/>
    </row>
    <row r="830" spans="1:10" s="149" customFormat="1" hidden="1">
      <c r="A830" s="164"/>
      <c r="B830" s="333" t="s">
        <v>28</v>
      </c>
      <c r="C830" s="501"/>
      <c r="D830" s="173"/>
      <c r="E830" s="173"/>
      <c r="F830" s="173"/>
      <c r="G830" s="173"/>
      <c r="H830" s="165"/>
      <c r="I830" s="121"/>
      <c r="J830" s="121"/>
    </row>
    <row r="831" spans="1:10" s="149" customFormat="1" hidden="1">
      <c r="A831" s="164"/>
      <c r="B831" s="1072" t="s">
        <v>917</v>
      </c>
      <c r="C831" s="501">
        <v>1.6899999999999998E-2</v>
      </c>
      <c r="D831" s="180" t="s">
        <v>918</v>
      </c>
      <c r="E831" s="173">
        <f>Lead!E17</f>
        <v>754</v>
      </c>
      <c r="F831" s="173">
        <f>C831*E831</f>
        <v>12.742599999999999</v>
      </c>
      <c r="G831" s="173"/>
      <c r="H831" s="165"/>
      <c r="I831" s="121"/>
      <c r="J831" s="121"/>
    </row>
    <row r="832" spans="1:10" s="149" customFormat="1" hidden="1">
      <c r="A832" s="164"/>
      <c r="B832" s="1072" t="s">
        <v>151</v>
      </c>
      <c r="C832" s="501">
        <v>1.6899999999999998E-2</v>
      </c>
      <c r="D832" s="180" t="s">
        <v>918</v>
      </c>
      <c r="E832" s="173">
        <f>Lead!E20</f>
        <v>55</v>
      </c>
      <c r="F832" s="173">
        <f>C832*E832</f>
        <v>0.92949999999999988</v>
      </c>
      <c r="G832" s="173"/>
      <c r="H832" s="165"/>
      <c r="I832" s="121"/>
      <c r="J832" s="121"/>
    </row>
    <row r="833" spans="1:10" s="149" customFormat="1" hidden="1">
      <c r="A833" s="164"/>
      <c r="B833" s="156" t="s">
        <v>919</v>
      </c>
      <c r="C833" s="501">
        <v>0.1208</v>
      </c>
      <c r="D833" s="180" t="s">
        <v>920</v>
      </c>
      <c r="E833" s="173">
        <f>Lead!E29</f>
        <v>650</v>
      </c>
      <c r="F833" s="173">
        <f>C833*E833</f>
        <v>78.52</v>
      </c>
      <c r="G833" s="173"/>
      <c r="H833" s="165"/>
      <c r="I833" s="121"/>
      <c r="J833" s="121"/>
    </row>
    <row r="834" spans="1:10" s="149" customFormat="1" hidden="1">
      <c r="A834" s="164"/>
      <c r="B834" s="1073" t="s">
        <v>111</v>
      </c>
      <c r="C834" s="501"/>
      <c r="D834" s="173"/>
      <c r="E834" s="173"/>
      <c r="F834" s="173"/>
      <c r="G834" s="173"/>
      <c r="H834" s="173"/>
      <c r="I834" s="121"/>
      <c r="J834" s="121"/>
    </row>
    <row r="835" spans="1:10" s="149" customFormat="1" hidden="1">
      <c r="A835" s="164"/>
      <c r="B835" s="1072" t="s">
        <v>921</v>
      </c>
      <c r="C835" s="501">
        <v>0.1</v>
      </c>
      <c r="D835" s="173" t="s">
        <v>854</v>
      </c>
      <c r="E835" s="173">
        <f>Lead!E64</f>
        <v>260</v>
      </c>
      <c r="F835" s="173">
        <f>C835*E835</f>
        <v>26</v>
      </c>
      <c r="G835" s="173"/>
      <c r="H835" s="173"/>
      <c r="I835" s="121"/>
      <c r="J835" s="121"/>
    </row>
    <row r="836" spans="1:10" s="149" customFormat="1" hidden="1">
      <c r="A836" s="164"/>
      <c r="B836" s="1074" t="s">
        <v>922</v>
      </c>
      <c r="C836" s="1075">
        <v>0.33</v>
      </c>
      <c r="D836" s="173" t="s">
        <v>854</v>
      </c>
      <c r="E836" s="173">
        <f>Lead!E47</f>
        <v>200</v>
      </c>
      <c r="F836" s="173">
        <f>C836*E836</f>
        <v>66</v>
      </c>
      <c r="G836" s="173"/>
      <c r="H836" s="173"/>
      <c r="I836" s="121"/>
      <c r="J836" s="121"/>
    </row>
    <row r="837" spans="1:10" s="149" customFormat="1" ht="26.25" hidden="1" customHeight="1">
      <c r="A837" s="164"/>
      <c r="B837" s="156" t="s">
        <v>923</v>
      </c>
      <c r="C837" s="1075">
        <v>0.03</v>
      </c>
      <c r="D837" s="173" t="s">
        <v>854</v>
      </c>
      <c r="E837" s="173">
        <f>Lead!E47</f>
        <v>200</v>
      </c>
      <c r="F837" s="102">
        <f>C837*E837</f>
        <v>6</v>
      </c>
      <c r="G837" s="173"/>
      <c r="H837" s="173"/>
      <c r="I837" s="406"/>
      <c r="J837" s="121"/>
    </row>
    <row r="838" spans="1:10" s="149" customFormat="1" hidden="1">
      <c r="A838" s="164"/>
      <c r="B838" s="156"/>
      <c r="C838" s="1075"/>
      <c r="D838" s="173"/>
      <c r="E838" s="173"/>
      <c r="F838" s="173">
        <f>SUM(F831:F837)</f>
        <v>190.19209999999998</v>
      </c>
      <c r="G838" s="173"/>
      <c r="H838" s="173"/>
      <c r="I838" s="406"/>
      <c r="J838" s="121"/>
    </row>
    <row r="839" spans="1:10" s="149" customFormat="1" hidden="1">
      <c r="A839" s="164"/>
      <c r="B839" s="333" t="s">
        <v>924</v>
      </c>
      <c r="C839" s="1075"/>
      <c r="D839" s="180"/>
      <c r="E839" s="173"/>
      <c r="F839" s="173">
        <f>F838*0.075</f>
        <v>14.264407499999999</v>
      </c>
      <c r="G839" s="102"/>
      <c r="H839" s="173"/>
      <c r="I839" s="406"/>
      <c r="J839" s="121"/>
    </row>
    <row r="840" spans="1:10" s="149" customFormat="1" hidden="1">
      <c r="A840" s="164"/>
      <c r="B840" s="333" t="s">
        <v>925</v>
      </c>
      <c r="C840" s="1075"/>
      <c r="D840" s="180"/>
      <c r="E840" s="173"/>
      <c r="F840" s="173">
        <f>F838*0.075</f>
        <v>14.264407499999999</v>
      </c>
      <c r="G840" s="102"/>
      <c r="H840" s="173"/>
      <c r="I840" s="406"/>
      <c r="J840" s="121"/>
    </row>
    <row r="841" spans="1:10" s="149" customFormat="1" hidden="1">
      <c r="A841" s="164"/>
      <c r="B841" s="1076"/>
      <c r="C841" s="557"/>
      <c r="D841" s="102"/>
      <c r="E841" s="173"/>
      <c r="F841" s="173">
        <f>SUM(F838:F840)</f>
        <v>218.72091499999999</v>
      </c>
      <c r="G841" s="173"/>
      <c r="H841" s="173"/>
      <c r="I841" s="406"/>
      <c r="J841" s="121"/>
    </row>
    <row r="842" spans="1:10" s="149" customFormat="1" hidden="1">
      <c r="A842" s="164"/>
      <c r="B842" s="164" t="s">
        <v>124</v>
      </c>
      <c r="C842" s="557"/>
      <c r="D842" s="102"/>
      <c r="E842" s="173"/>
      <c r="F842" s="173"/>
      <c r="G842" s="173"/>
      <c r="H842" s="173"/>
      <c r="I842" s="406"/>
      <c r="J842" s="121"/>
    </row>
    <row r="843" spans="1:10" s="149" customFormat="1" hidden="1">
      <c r="A843" s="164"/>
      <c r="B843" s="1072" t="s">
        <v>917</v>
      </c>
      <c r="C843" s="501">
        <v>1.6899999999999998E-2</v>
      </c>
      <c r="D843" s="180" t="s">
        <v>918</v>
      </c>
      <c r="E843" s="173">
        <f>Lead!J17</f>
        <v>850.4</v>
      </c>
      <c r="F843" s="173">
        <f>C843*E843</f>
        <v>14.371759999999998</v>
      </c>
      <c r="G843" s="173"/>
      <c r="H843" s="173"/>
      <c r="I843" s="406"/>
      <c r="J843" s="121"/>
    </row>
    <row r="844" spans="1:10" s="149" customFormat="1" hidden="1">
      <c r="A844" s="164"/>
      <c r="B844" s="164" t="s">
        <v>151</v>
      </c>
      <c r="C844" s="501">
        <v>1.6899999999999998E-2</v>
      </c>
      <c r="D844" s="180" t="s">
        <v>918</v>
      </c>
      <c r="E844" s="173">
        <f>Lead!J20</f>
        <v>196.4</v>
      </c>
      <c r="F844" s="173">
        <f>C844*E844</f>
        <v>3.3191599999999997</v>
      </c>
      <c r="G844" s="173"/>
      <c r="H844" s="173"/>
      <c r="I844" s="406"/>
      <c r="J844" s="121"/>
    </row>
    <row r="845" spans="1:10" s="149" customFormat="1" hidden="1">
      <c r="A845" s="164"/>
      <c r="B845" s="156" t="s">
        <v>919</v>
      </c>
      <c r="C845" s="501">
        <v>0.1208</v>
      </c>
      <c r="D845" s="180" t="s">
        <v>920</v>
      </c>
      <c r="E845" s="173">
        <f>Lead!J29</f>
        <v>16.899999999999999</v>
      </c>
      <c r="F845" s="173">
        <f>C845*E845</f>
        <v>2.0415199999999998</v>
      </c>
      <c r="G845" s="173"/>
      <c r="H845" s="173"/>
      <c r="I845" s="406"/>
      <c r="J845" s="121"/>
    </row>
    <row r="846" spans="1:10" s="149" customFormat="1" hidden="1">
      <c r="A846" s="164"/>
      <c r="B846" s="164" t="s">
        <v>117</v>
      </c>
      <c r="C846" s="557"/>
      <c r="D846" s="102"/>
      <c r="E846" s="173"/>
      <c r="F846" s="173">
        <f>SUM(F843:F845)</f>
        <v>19.732439999999997</v>
      </c>
      <c r="G846" s="173"/>
      <c r="H846" s="173"/>
      <c r="I846" s="406"/>
      <c r="J846" s="121"/>
    </row>
    <row r="847" spans="1:10" s="149" customFormat="1" hidden="1">
      <c r="A847" s="164"/>
      <c r="B847" s="164" t="s">
        <v>60</v>
      </c>
      <c r="C847" s="557"/>
      <c r="D847" s="102"/>
      <c r="E847" s="173"/>
      <c r="F847" s="173">
        <f>F841+F846</f>
        <v>238.45335499999999</v>
      </c>
      <c r="G847" s="173"/>
      <c r="H847" s="173"/>
      <c r="I847" s="406"/>
      <c r="J847" s="121"/>
    </row>
    <row r="848" spans="1:10" s="149" customFormat="1" hidden="1">
      <c r="A848" s="164"/>
      <c r="B848" s="164" t="s">
        <v>493</v>
      </c>
      <c r="C848" s="557"/>
      <c r="D848" s="102"/>
      <c r="E848" s="173"/>
      <c r="F848" s="173">
        <f>F847*1%</f>
        <v>2.38453355</v>
      </c>
      <c r="G848" s="173"/>
      <c r="H848" s="102"/>
      <c r="I848" s="121"/>
      <c r="J848" s="121"/>
    </row>
    <row r="849" spans="1:10" s="149" customFormat="1" hidden="1">
      <c r="A849" s="164"/>
      <c r="B849" s="164" t="s">
        <v>117</v>
      </c>
      <c r="C849" s="557"/>
      <c r="D849" s="102"/>
      <c r="E849" s="173"/>
      <c r="F849" s="364">
        <f>F847+F848</f>
        <v>240.83788854999997</v>
      </c>
      <c r="G849" s="173"/>
      <c r="H849" s="102"/>
      <c r="I849" s="121"/>
      <c r="J849" s="121"/>
    </row>
    <row r="850" spans="1:10" s="149" customFormat="1" hidden="1">
      <c r="A850" s="164"/>
      <c r="B850" s="333"/>
      <c r="C850" s="1270"/>
      <c r="D850" s="1270"/>
      <c r="E850" s="1270"/>
      <c r="F850" s="173"/>
      <c r="G850" s="173"/>
      <c r="H850" s="364"/>
      <c r="I850" s="121"/>
      <c r="J850" s="121"/>
    </row>
    <row r="851" spans="1:10" s="149" customFormat="1" ht="63.75" hidden="1">
      <c r="A851" s="126">
        <v>29</v>
      </c>
      <c r="B851" s="1073" t="s">
        <v>160</v>
      </c>
      <c r="C851" s="100"/>
      <c r="D851" s="1050" t="s">
        <v>165</v>
      </c>
      <c r="E851" s="100"/>
      <c r="F851" s="100"/>
      <c r="G851" s="165"/>
      <c r="H851" s="165"/>
      <c r="I851" s="121"/>
      <c r="J851" s="121"/>
    </row>
    <row r="852" spans="1:10" s="149" customFormat="1" hidden="1">
      <c r="A852" s="174"/>
      <c r="B852" s="332" t="s">
        <v>14</v>
      </c>
      <c r="C852" s="100"/>
      <c r="D852" s="100"/>
      <c r="E852" s="100"/>
      <c r="F852" s="100"/>
      <c r="G852" s="165"/>
      <c r="H852" s="165"/>
      <c r="I852" s="121"/>
      <c r="J852" s="121"/>
    </row>
    <row r="853" spans="1:10" s="149" customFormat="1" hidden="1">
      <c r="A853" s="174"/>
      <c r="B853" s="332" t="s">
        <v>150</v>
      </c>
      <c r="C853" s="100"/>
      <c r="D853" s="100"/>
      <c r="E853" s="100"/>
      <c r="F853" s="100"/>
      <c r="G853" s="165"/>
      <c r="H853" s="165"/>
      <c r="I853" s="121"/>
      <c r="J853" s="121"/>
    </row>
    <row r="854" spans="1:10" s="149" customFormat="1" hidden="1">
      <c r="A854" s="174"/>
      <c r="B854" s="332" t="s">
        <v>33</v>
      </c>
      <c r="C854" s="1050" t="s">
        <v>15</v>
      </c>
      <c r="D854" s="1050" t="s">
        <v>127</v>
      </c>
      <c r="E854" s="1049">
        <f>Lead!E29</f>
        <v>650</v>
      </c>
      <c r="F854" s="1051">
        <f>C854*E854</f>
        <v>1207.05</v>
      </c>
      <c r="G854" s="165"/>
      <c r="H854" s="165"/>
      <c r="I854" s="121"/>
      <c r="J854" s="121"/>
    </row>
    <row r="855" spans="1:10" s="149" customFormat="1" hidden="1">
      <c r="A855" s="174"/>
      <c r="B855" s="332" t="s">
        <v>162</v>
      </c>
      <c r="C855" s="1050" t="s">
        <v>163</v>
      </c>
      <c r="D855" s="1050" t="s">
        <v>123</v>
      </c>
      <c r="E855" s="1049">
        <f>Lead!E20</f>
        <v>55</v>
      </c>
      <c r="F855" s="1051">
        <f>C855*E855</f>
        <v>7.15</v>
      </c>
      <c r="G855" s="165"/>
      <c r="H855" s="165"/>
      <c r="I855" s="121"/>
      <c r="J855" s="121"/>
    </row>
    <row r="856" spans="1:10" s="149" customFormat="1" hidden="1">
      <c r="A856" s="174"/>
      <c r="B856" s="332" t="s">
        <v>33</v>
      </c>
      <c r="C856" s="1050" t="s">
        <v>16</v>
      </c>
      <c r="D856" s="1050" t="s">
        <v>127</v>
      </c>
      <c r="E856" s="1049">
        <f>E854</f>
        <v>650</v>
      </c>
      <c r="F856" s="1051">
        <f>C856*E856</f>
        <v>286</v>
      </c>
      <c r="G856" s="165"/>
      <c r="H856" s="165"/>
      <c r="I856" s="121"/>
      <c r="J856" s="121"/>
    </row>
    <row r="857" spans="1:10" s="149" customFormat="1" hidden="1">
      <c r="A857" s="174"/>
      <c r="B857" s="332" t="s">
        <v>33</v>
      </c>
      <c r="C857" s="1050" t="s">
        <v>16</v>
      </c>
      <c r="D857" s="1050" t="s">
        <v>127</v>
      </c>
      <c r="E857" s="1049">
        <f>E854</f>
        <v>650</v>
      </c>
      <c r="F857" s="1051">
        <f>C857*E857</f>
        <v>286</v>
      </c>
      <c r="G857" s="165"/>
      <c r="H857" s="165"/>
      <c r="I857" s="121"/>
      <c r="J857" s="121"/>
    </row>
    <row r="858" spans="1:10" s="149" customFormat="1" hidden="1">
      <c r="A858" s="174"/>
      <c r="B858" s="332" t="s">
        <v>152</v>
      </c>
      <c r="C858" s="100"/>
      <c r="D858" s="100"/>
      <c r="E858" s="102"/>
      <c r="F858" s="1051"/>
      <c r="G858" s="165"/>
      <c r="H858" s="165"/>
      <c r="I858" s="121"/>
      <c r="J858" s="121"/>
    </row>
    <row r="859" spans="1:10" s="149" customFormat="1" hidden="1">
      <c r="A859" s="174"/>
      <c r="B859" s="332" t="s">
        <v>155</v>
      </c>
      <c r="C859" s="1050" t="s">
        <v>17</v>
      </c>
      <c r="D859" s="1050" t="s">
        <v>114</v>
      </c>
      <c r="E859" s="1049">
        <f>Lead!E64</f>
        <v>260</v>
      </c>
      <c r="F859" s="1051">
        <f>C859*E859</f>
        <v>561.6</v>
      </c>
      <c r="G859" s="165"/>
      <c r="H859" s="165"/>
      <c r="I859" s="121"/>
      <c r="J859" s="121"/>
    </row>
    <row r="860" spans="1:10" s="149" customFormat="1" hidden="1">
      <c r="A860" s="174"/>
      <c r="B860" s="332" t="s">
        <v>113</v>
      </c>
      <c r="C860" s="1050" t="s">
        <v>17</v>
      </c>
      <c r="D860" s="1050" t="s">
        <v>114</v>
      </c>
      <c r="E860" s="1049">
        <f>Lead!E47</f>
        <v>200</v>
      </c>
      <c r="F860" s="1051">
        <f>C860*E860</f>
        <v>432</v>
      </c>
      <c r="G860" s="165"/>
      <c r="H860" s="165"/>
      <c r="I860" s="121"/>
      <c r="J860" s="121"/>
    </row>
    <row r="861" spans="1:10" s="149" customFormat="1" hidden="1">
      <c r="A861" s="174"/>
      <c r="B861" s="332" t="s">
        <v>658</v>
      </c>
      <c r="C861" s="100"/>
      <c r="D861" s="1050" t="s">
        <v>116</v>
      </c>
      <c r="E861" s="1051">
        <f>SUM(F854:F860)</f>
        <v>2779.8</v>
      </c>
      <c r="F861" s="1051">
        <f>E861*0.15</f>
        <v>416.97</v>
      </c>
      <c r="G861" s="165"/>
      <c r="H861" s="165"/>
      <c r="I861" s="121"/>
      <c r="J861" s="121"/>
    </row>
    <row r="862" spans="1:10" s="149" customFormat="1" hidden="1">
      <c r="A862" s="174"/>
      <c r="B862" s="332" t="s">
        <v>117</v>
      </c>
      <c r="C862" s="100"/>
      <c r="D862" s="100"/>
      <c r="E862" s="100"/>
      <c r="F862" s="1051">
        <f>SUM(F854:F861)</f>
        <v>3196.7700000000004</v>
      </c>
      <c r="G862" s="165"/>
      <c r="H862" s="165"/>
      <c r="I862" s="121"/>
      <c r="J862" s="121"/>
    </row>
    <row r="863" spans="1:10" s="149" customFormat="1" hidden="1">
      <c r="A863" s="174"/>
      <c r="B863" s="332" t="s">
        <v>60</v>
      </c>
      <c r="C863" s="100"/>
      <c r="D863" s="100"/>
      <c r="E863" s="100"/>
      <c r="F863" s="1051">
        <f>F862/10</f>
        <v>319.67700000000002</v>
      </c>
      <c r="G863" s="165"/>
      <c r="H863" s="165"/>
      <c r="I863" s="121"/>
      <c r="J863" s="121"/>
    </row>
    <row r="864" spans="1:10" s="149" customFormat="1" hidden="1">
      <c r="A864" s="174"/>
      <c r="B864" s="332" t="s">
        <v>34</v>
      </c>
      <c r="C864" s="1050" t="s">
        <v>112</v>
      </c>
      <c r="D864" s="1050" t="s">
        <v>161</v>
      </c>
      <c r="E864" s="1049">
        <v>429</v>
      </c>
      <c r="F864" s="1051">
        <f>C864*E864</f>
        <v>429</v>
      </c>
      <c r="G864" s="165"/>
      <c r="H864" s="165"/>
      <c r="I864" s="121"/>
      <c r="J864" s="121"/>
    </row>
    <row r="865" spans="1:10" s="149" customFormat="1" hidden="1">
      <c r="A865" s="174"/>
      <c r="B865" s="1077" t="s">
        <v>124</v>
      </c>
      <c r="C865" s="100"/>
      <c r="D865" s="100"/>
      <c r="E865" s="100"/>
      <c r="F865" s="1051"/>
      <c r="G865" s="165"/>
      <c r="H865" s="165"/>
      <c r="I865" s="121"/>
      <c r="J865" s="121"/>
    </row>
    <row r="866" spans="1:10" s="149" customFormat="1" hidden="1">
      <c r="A866" s="174"/>
      <c r="B866" s="332" t="s">
        <v>2</v>
      </c>
      <c r="C866" s="1050">
        <v>180</v>
      </c>
      <c r="D866" s="1050" t="s">
        <v>88</v>
      </c>
      <c r="E866" s="1049">
        <f>E966</f>
        <v>5.615555555555555</v>
      </c>
      <c r="F866" s="1051">
        <f>E866/C866</f>
        <v>3.1197530864197527E-2</v>
      </c>
      <c r="G866" s="165"/>
      <c r="H866" s="165"/>
      <c r="I866" s="121"/>
      <c r="J866" s="121"/>
    </row>
    <row r="867" spans="1:10" s="149" customFormat="1" hidden="1">
      <c r="A867" s="174"/>
      <c r="B867" s="332" t="s">
        <v>151</v>
      </c>
      <c r="C867" s="1050">
        <v>0.13</v>
      </c>
      <c r="D867" s="1050" t="s">
        <v>123</v>
      </c>
      <c r="E867" s="1049">
        <f>Lead!J20</f>
        <v>196.4</v>
      </c>
      <c r="F867" s="1051">
        <f>E867*C867/10</f>
        <v>2.5531999999999999</v>
      </c>
      <c r="G867" s="165"/>
      <c r="H867" s="165"/>
      <c r="I867" s="121"/>
      <c r="J867" s="121"/>
    </row>
    <row r="868" spans="1:10" s="149" customFormat="1" hidden="1">
      <c r="A868" s="174"/>
      <c r="B868" s="332" t="s">
        <v>33</v>
      </c>
      <c r="C868" s="1050">
        <f>C854+C856+C857</f>
        <v>2.7370000000000001</v>
      </c>
      <c r="D868" s="1050" t="s">
        <v>127</v>
      </c>
      <c r="E868" s="1049">
        <f>Lead!J29</f>
        <v>16.899999999999999</v>
      </c>
      <c r="F868" s="1051">
        <f>E868*C868/10</f>
        <v>4.6255299999999995</v>
      </c>
      <c r="G868" s="165"/>
      <c r="H868" s="165"/>
      <c r="I868" s="121"/>
      <c r="J868" s="121"/>
    </row>
    <row r="869" spans="1:10" s="149" customFormat="1" hidden="1">
      <c r="A869" s="174"/>
      <c r="B869" s="332" t="s">
        <v>117</v>
      </c>
      <c r="C869" s="100"/>
      <c r="D869" s="100"/>
      <c r="E869" s="100"/>
      <c r="F869" s="1051">
        <f>SUM(F863:F868)</f>
        <v>755.88692753086423</v>
      </c>
      <c r="G869" s="165"/>
      <c r="H869" s="165"/>
      <c r="I869" s="121"/>
      <c r="J869" s="121"/>
    </row>
    <row r="870" spans="1:10" s="149" customFormat="1" hidden="1">
      <c r="A870" s="174"/>
      <c r="B870" s="1055" t="s">
        <v>493</v>
      </c>
      <c r="C870" s="1050"/>
      <c r="D870" s="1050"/>
      <c r="E870" s="1050"/>
      <c r="F870" s="1051">
        <f>F869*0.01</f>
        <v>7.5588692753086422</v>
      </c>
      <c r="G870" s="165"/>
      <c r="H870" s="165"/>
      <c r="I870" s="121"/>
      <c r="J870" s="121"/>
    </row>
    <row r="871" spans="1:10" s="149" customFormat="1" hidden="1">
      <c r="A871" s="174"/>
      <c r="B871" s="1055" t="s">
        <v>117</v>
      </c>
      <c r="C871" s="1050"/>
      <c r="D871" s="1050"/>
      <c r="E871" s="1050"/>
      <c r="F871" s="1051">
        <f>SUM(F869:F870)</f>
        <v>763.44579680617289</v>
      </c>
      <c r="G871" s="165"/>
      <c r="H871" s="165"/>
      <c r="I871" s="121"/>
      <c r="J871" s="121"/>
    </row>
    <row r="872" spans="1:10" s="149" customFormat="1" hidden="1">
      <c r="A872" s="174"/>
      <c r="B872" s="1056"/>
      <c r="C872" s="1057"/>
      <c r="D872" s="1057"/>
      <c r="E872" s="1057" t="s">
        <v>120</v>
      </c>
      <c r="F872" s="1058">
        <f>ROUND(F871,1)</f>
        <v>763.4</v>
      </c>
      <c r="G872" s="165"/>
      <c r="H872" s="165"/>
      <c r="I872" s="121"/>
      <c r="J872" s="121"/>
    </row>
    <row r="873" spans="1:10" s="20" customFormat="1" hidden="1">
      <c r="A873" s="174" t="s">
        <v>38</v>
      </c>
      <c r="B873" s="1052" t="s">
        <v>71</v>
      </c>
      <c r="C873" s="1053"/>
      <c r="D873" s="1053"/>
      <c r="E873" s="1053"/>
      <c r="F873" s="1053"/>
      <c r="G873" s="100"/>
      <c r="H873" s="100"/>
    </row>
    <row r="874" spans="1:10" s="20" customFormat="1" hidden="1">
      <c r="A874" s="174"/>
      <c r="B874" s="339" t="s">
        <v>333</v>
      </c>
      <c r="C874" s="557"/>
      <c r="D874" s="557"/>
      <c r="E874" s="557"/>
      <c r="F874" s="557">
        <f>F871</f>
        <v>763.44579680617289</v>
      </c>
      <c r="G874" s="100"/>
      <c r="H874" s="100"/>
    </row>
    <row r="875" spans="1:10" s="20" customFormat="1" hidden="1">
      <c r="A875" s="174"/>
      <c r="B875" s="1054" t="s">
        <v>280</v>
      </c>
      <c r="C875" s="557"/>
      <c r="D875" s="100"/>
      <c r="E875" s="557">
        <f>((F859+F860)+(F859+F860)*0.15)/10</f>
        <v>114.26400000000001</v>
      </c>
      <c r="F875" s="557">
        <f>E875*0.05</f>
        <v>5.7132000000000005</v>
      </c>
      <c r="G875" s="100"/>
      <c r="H875" s="100"/>
    </row>
    <row r="876" spans="1:10" s="20" customFormat="1" hidden="1">
      <c r="A876" s="174"/>
      <c r="B876" s="339" t="s">
        <v>117</v>
      </c>
      <c r="C876" s="557"/>
      <c r="D876" s="557"/>
      <c r="E876" s="557"/>
      <c r="F876" s="557">
        <f>SUM(F874:F875)</f>
        <v>769.15899680617292</v>
      </c>
      <c r="G876" s="100"/>
      <c r="H876" s="100"/>
    </row>
    <row r="877" spans="1:10" s="20" customFormat="1" hidden="1">
      <c r="A877" s="174"/>
      <c r="B877" s="1056"/>
      <c r="C877" s="1053"/>
      <c r="D877" s="1053"/>
      <c r="E877" s="1053" t="s">
        <v>120</v>
      </c>
      <c r="F877" s="1053">
        <f>ROUND(F876,1)</f>
        <v>769.2</v>
      </c>
      <c r="G877" s="100"/>
      <c r="H877" s="100"/>
    </row>
    <row r="878" spans="1:10" s="20" customFormat="1" hidden="1">
      <c r="A878" s="100" t="s">
        <v>39</v>
      </c>
      <c r="B878" s="339" t="s">
        <v>267</v>
      </c>
      <c r="C878" s="102"/>
      <c r="D878" s="102"/>
      <c r="E878" s="102"/>
      <c r="F878" s="102"/>
      <c r="G878" s="100"/>
      <c r="H878" s="100"/>
    </row>
    <row r="879" spans="1:10" s="20" customFormat="1" hidden="1">
      <c r="A879" s="100"/>
      <c r="B879" s="339" t="s">
        <v>278</v>
      </c>
      <c r="C879" s="102"/>
      <c r="D879" s="102"/>
      <c r="E879" s="102"/>
      <c r="F879" s="102">
        <f>F876</f>
        <v>769.15899680617292</v>
      </c>
      <c r="G879" s="100"/>
      <c r="H879" s="100"/>
    </row>
    <row r="880" spans="1:10" s="20" customFormat="1" hidden="1">
      <c r="A880" s="100"/>
      <c r="B880" s="1054" t="s">
        <v>282</v>
      </c>
      <c r="C880" s="102"/>
      <c r="D880" s="102"/>
      <c r="E880" s="102">
        <f>E875+F875</f>
        <v>119.97720000000001</v>
      </c>
      <c r="F880" s="102">
        <f>E880*0.03</f>
        <v>3.599316</v>
      </c>
      <c r="G880" s="100"/>
      <c r="H880" s="100"/>
    </row>
    <row r="881" spans="1:10" s="20" customFormat="1" hidden="1">
      <c r="A881" s="100"/>
      <c r="B881" s="1055" t="s">
        <v>117</v>
      </c>
      <c r="C881" s="102"/>
      <c r="D881" s="102"/>
      <c r="E881" s="102"/>
      <c r="F881" s="102">
        <f>SUM(F879:F880)</f>
        <v>772.75831280617297</v>
      </c>
      <c r="G881" s="100"/>
      <c r="H881" s="100"/>
    </row>
    <row r="882" spans="1:10" s="20" customFormat="1" hidden="1">
      <c r="A882" s="100"/>
      <c r="B882" s="1056"/>
      <c r="C882" s="1058"/>
      <c r="D882" s="1058"/>
      <c r="E882" s="1058" t="s">
        <v>120</v>
      </c>
      <c r="F882" s="1058">
        <f>ROUND(F881,1)</f>
        <v>772.8</v>
      </c>
      <c r="G882" s="102"/>
      <c r="H882" s="100"/>
    </row>
    <row r="883" spans="1:10" s="149" customFormat="1" hidden="1">
      <c r="A883" s="174"/>
      <c r="B883" s="1056"/>
      <c r="C883" s="1057"/>
      <c r="D883" s="1057"/>
      <c r="E883" s="1057"/>
      <c r="F883" s="1058"/>
      <c r="G883" s="165"/>
      <c r="H883" s="165"/>
      <c r="I883" s="121"/>
      <c r="J883" s="121"/>
    </row>
    <row r="884" spans="1:10" s="149" customFormat="1" ht="63.75" hidden="1">
      <c r="A884" s="126">
        <v>30</v>
      </c>
      <c r="B884" s="1073" t="s">
        <v>1046</v>
      </c>
      <c r="C884" s="100"/>
      <c r="D884" s="1050" t="s">
        <v>165</v>
      </c>
      <c r="E884" s="100"/>
      <c r="F884" s="100"/>
      <c r="G884" s="165"/>
      <c r="H884" s="165"/>
      <c r="I884" s="121"/>
      <c r="J884" s="121"/>
    </row>
    <row r="885" spans="1:10" s="149" customFormat="1" hidden="1">
      <c r="A885" s="174"/>
      <c r="B885" s="332" t="s">
        <v>14</v>
      </c>
      <c r="C885" s="100"/>
      <c r="D885" s="100"/>
      <c r="E885" s="100"/>
      <c r="F885" s="100"/>
      <c r="G885" s="165"/>
      <c r="H885" s="165"/>
      <c r="I885" s="121"/>
      <c r="J885" s="121"/>
    </row>
    <row r="886" spans="1:10" s="149" customFormat="1" hidden="1">
      <c r="A886" s="174"/>
      <c r="B886" s="332" t="s">
        <v>150</v>
      </c>
      <c r="C886" s="100"/>
      <c r="D886" s="100"/>
      <c r="E886" s="100"/>
      <c r="F886" s="100"/>
      <c r="G886" s="165"/>
      <c r="H886" s="165"/>
      <c r="I886" s="121"/>
      <c r="J886" s="121"/>
    </row>
    <row r="887" spans="1:10" s="149" customFormat="1" hidden="1">
      <c r="A887" s="174"/>
      <c r="B887" s="332" t="s">
        <v>33</v>
      </c>
      <c r="C887" s="1050">
        <v>0.71499999999999997</v>
      </c>
      <c r="D887" s="1050" t="s">
        <v>127</v>
      </c>
      <c r="E887" s="1049">
        <f>Lead!E29</f>
        <v>650</v>
      </c>
      <c r="F887" s="1051">
        <f>C887*E887</f>
        <v>464.75</v>
      </c>
      <c r="G887" s="165"/>
      <c r="H887" s="165"/>
      <c r="I887" s="121"/>
      <c r="J887" s="121"/>
    </row>
    <row r="888" spans="1:10" s="149" customFormat="1" hidden="1">
      <c r="A888" s="174"/>
      <c r="B888" s="332" t="s">
        <v>162</v>
      </c>
      <c r="C888" s="1050">
        <v>0.15</v>
      </c>
      <c r="D888" s="1050" t="s">
        <v>123</v>
      </c>
      <c r="E888" s="1049">
        <f>Lead!E20</f>
        <v>55</v>
      </c>
      <c r="F888" s="1051">
        <f>C888*E888</f>
        <v>8.25</v>
      </c>
      <c r="G888" s="165"/>
      <c r="H888" s="165"/>
      <c r="I888" s="121"/>
      <c r="J888" s="121"/>
    </row>
    <row r="889" spans="1:10" s="149" customFormat="1" hidden="1">
      <c r="A889" s="174"/>
      <c r="B889" s="332" t="s">
        <v>33</v>
      </c>
      <c r="C889" s="1050">
        <v>0.66</v>
      </c>
      <c r="D889" s="1050" t="s">
        <v>127</v>
      </c>
      <c r="E889" s="1049">
        <f>E887</f>
        <v>650</v>
      </c>
      <c r="F889" s="1051">
        <f>C889*E889</f>
        <v>429</v>
      </c>
      <c r="G889" s="165"/>
      <c r="H889" s="165"/>
      <c r="I889" s="121"/>
      <c r="J889" s="121"/>
    </row>
    <row r="890" spans="1:10" s="149" customFormat="1" hidden="1">
      <c r="A890" s="174"/>
      <c r="B890" s="332" t="s">
        <v>152</v>
      </c>
      <c r="C890" s="100"/>
      <c r="D890" s="100"/>
      <c r="E890" s="102"/>
      <c r="F890" s="100"/>
      <c r="G890" s="165"/>
      <c r="H890" s="165"/>
      <c r="I890" s="121"/>
      <c r="J890" s="121"/>
    </row>
    <row r="891" spans="1:10" s="149" customFormat="1" hidden="1">
      <c r="A891" s="174"/>
      <c r="B891" s="332" t="s">
        <v>155</v>
      </c>
      <c r="C891" s="1050">
        <v>3.25</v>
      </c>
      <c r="D891" s="1050" t="s">
        <v>114</v>
      </c>
      <c r="E891" s="1049">
        <f>Lead!E64</f>
        <v>260</v>
      </c>
      <c r="F891" s="1051">
        <f>C891*E891</f>
        <v>845</v>
      </c>
      <c r="G891" s="165"/>
      <c r="H891" s="165"/>
      <c r="I891" s="121"/>
      <c r="J891" s="121"/>
    </row>
    <row r="892" spans="1:10" s="149" customFormat="1" hidden="1">
      <c r="A892" s="174"/>
      <c r="B892" s="332" t="s">
        <v>113</v>
      </c>
      <c r="C892" s="1050">
        <v>3.25</v>
      </c>
      <c r="D892" s="1050" t="s">
        <v>114</v>
      </c>
      <c r="E892" s="1049">
        <f>Lead!E47</f>
        <v>200</v>
      </c>
      <c r="F892" s="1051">
        <f>C892*E892</f>
        <v>650</v>
      </c>
      <c r="G892" s="165"/>
      <c r="H892" s="165"/>
      <c r="I892" s="121"/>
      <c r="J892" s="121"/>
    </row>
    <row r="893" spans="1:10" s="149" customFormat="1" hidden="1">
      <c r="A893" s="174"/>
      <c r="B893" s="332" t="s">
        <v>658</v>
      </c>
      <c r="C893" s="100"/>
      <c r="D893" s="1050" t="s">
        <v>116</v>
      </c>
      <c r="E893" s="1051">
        <f>SUM(F887:F892)</f>
        <v>2397</v>
      </c>
      <c r="F893" s="1051">
        <f>E893*0.15</f>
        <v>359.55</v>
      </c>
      <c r="G893" s="165"/>
      <c r="H893" s="165"/>
      <c r="I893" s="121"/>
      <c r="J893" s="121"/>
    </row>
    <row r="894" spans="1:10" s="149" customFormat="1" hidden="1">
      <c r="A894" s="174"/>
      <c r="B894" s="332" t="s">
        <v>117</v>
      </c>
      <c r="C894" s="100"/>
      <c r="D894" s="100"/>
      <c r="E894" s="100"/>
      <c r="F894" s="1051">
        <f>SUM(F887:F893)</f>
        <v>2756.55</v>
      </c>
      <c r="G894" s="165"/>
      <c r="H894" s="165"/>
      <c r="I894" s="121"/>
      <c r="J894" s="121"/>
    </row>
    <row r="895" spans="1:10" s="149" customFormat="1" hidden="1">
      <c r="A895" s="174"/>
      <c r="B895" s="332" t="s">
        <v>60</v>
      </c>
      <c r="C895" s="100"/>
      <c r="D895" s="100"/>
      <c r="E895" s="100"/>
      <c r="F895" s="1051">
        <f>F894/10</f>
        <v>275.65500000000003</v>
      </c>
      <c r="G895" s="165"/>
      <c r="H895" s="165"/>
      <c r="I895" s="121"/>
      <c r="J895" s="121"/>
    </row>
    <row r="896" spans="1:10" s="149" customFormat="1" hidden="1">
      <c r="A896" s="174"/>
      <c r="B896" s="332" t="s">
        <v>1047</v>
      </c>
      <c r="C896" s="1050" t="s">
        <v>112</v>
      </c>
      <c r="D896" s="1050" t="s">
        <v>161</v>
      </c>
      <c r="E896" s="1049">
        <v>387</v>
      </c>
      <c r="F896" s="1051">
        <f>C896*E896</f>
        <v>387</v>
      </c>
      <c r="G896" s="165"/>
      <c r="H896" s="165"/>
      <c r="I896" s="121"/>
      <c r="J896" s="121"/>
    </row>
    <row r="897" spans="1:10" s="149" customFormat="1" hidden="1">
      <c r="A897" s="174"/>
      <c r="B897" s="332" t="s">
        <v>124</v>
      </c>
      <c r="C897" s="100"/>
      <c r="D897" s="100"/>
      <c r="E897" s="100"/>
      <c r="F897" s="1051"/>
      <c r="G897" s="165"/>
      <c r="H897" s="165"/>
      <c r="I897" s="121"/>
      <c r="J897" s="121"/>
    </row>
    <row r="898" spans="1:10" s="149" customFormat="1" hidden="1">
      <c r="A898" s="174"/>
      <c r="B898" s="332" t="s">
        <v>2</v>
      </c>
      <c r="C898" s="1050">
        <v>1</v>
      </c>
      <c r="D898" s="1050" t="s">
        <v>32</v>
      </c>
      <c r="E898" s="1049">
        <f>1010.8/180</f>
        <v>5.615555555555555</v>
      </c>
      <c r="F898" s="1051">
        <f>E898/C898</f>
        <v>5.615555555555555</v>
      </c>
      <c r="G898" s="165"/>
      <c r="H898" s="165"/>
      <c r="I898" s="121"/>
      <c r="J898" s="121"/>
    </row>
    <row r="899" spans="1:10" s="149" customFormat="1" hidden="1">
      <c r="A899" s="174"/>
      <c r="B899" s="332" t="s">
        <v>151</v>
      </c>
      <c r="C899" s="1050">
        <v>0.15</v>
      </c>
      <c r="D899" s="1050" t="s">
        <v>123</v>
      </c>
      <c r="E899" s="1049">
        <f>Lead!J20</f>
        <v>196.4</v>
      </c>
      <c r="F899" s="1051">
        <f>E899*C899/10</f>
        <v>2.9460000000000002</v>
      </c>
      <c r="G899" s="165"/>
      <c r="H899" s="165"/>
      <c r="I899" s="121"/>
      <c r="J899" s="121"/>
    </row>
    <row r="900" spans="1:10" s="149" customFormat="1" hidden="1">
      <c r="A900" s="174"/>
      <c r="B900" s="332" t="s">
        <v>33</v>
      </c>
      <c r="C900" s="1050">
        <f>C887+C889</f>
        <v>1.375</v>
      </c>
      <c r="D900" s="1050" t="s">
        <v>127</v>
      </c>
      <c r="E900" s="1049">
        <f>Lead!J29</f>
        <v>16.899999999999999</v>
      </c>
      <c r="F900" s="1051">
        <f>E900*C900/10</f>
        <v>2.3237499999999995</v>
      </c>
      <c r="G900" s="165"/>
      <c r="H900" s="165"/>
      <c r="I900" s="121"/>
      <c r="J900" s="121"/>
    </row>
    <row r="901" spans="1:10" s="149" customFormat="1" hidden="1">
      <c r="A901" s="174"/>
      <c r="B901" s="332" t="s">
        <v>117</v>
      </c>
      <c r="C901" s="100"/>
      <c r="D901" s="100"/>
      <c r="E901" s="100"/>
      <c r="F901" s="1051">
        <f>SUM(F895:F900)</f>
        <v>673.54030555555562</v>
      </c>
      <c r="G901" s="165"/>
      <c r="H901" s="165"/>
      <c r="I901" s="121"/>
      <c r="J901" s="121"/>
    </row>
    <row r="902" spans="1:10" s="149" customFormat="1" hidden="1">
      <c r="A902" s="174"/>
      <c r="B902" s="1055" t="s">
        <v>493</v>
      </c>
      <c r="C902" s="1050"/>
      <c r="D902" s="1050"/>
      <c r="E902" s="1050"/>
      <c r="F902" s="1051">
        <f>F901*0.01</f>
        <v>6.7354030555555564</v>
      </c>
      <c r="G902" s="165"/>
      <c r="H902" s="165"/>
      <c r="I902" s="121"/>
      <c r="J902" s="121"/>
    </row>
    <row r="903" spans="1:10" s="149" customFormat="1" hidden="1">
      <c r="A903" s="174"/>
      <c r="B903" s="1055" t="s">
        <v>117</v>
      </c>
      <c r="C903" s="1050"/>
      <c r="D903" s="1050"/>
      <c r="E903" s="1050"/>
      <c r="F903" s="1051">
        <f>SUM(F901:F902)</f>
        <v>680.27570861111121</v>
      </c>
      <c r="G903" s="165"/>
      <c r="H903" s="165"/>
      <c r="I903" s="121"/>
      <c r="J903" s="121"/>
    </row>
    <row r="904" spans="1:10" s="149" customFormat="1" hidden="1">
      <c r="A904" s="174"/>
      <c r="B904" s="1056"/>
      <c r="C904" s="1057"/>
      <c r="D904" s="1057"/>
      <c r="E904" s="1057" t="s">
        <v>120</v>
      </c>
      <c r="F904" s="1058">
        <f>ROUND(F903,1)</f>
        <v>680.3</v>
      </c>
      <c r="G904" s="165"/>
      <c r="H904" s="165"/>
      <c r="I904" s="121"/>
      <c r="J904" s="121"/>
    </row>
    <row r="905" spans="1:10" s="149" customFormat="1" ht="14.25" hidden="1" customHeight="1">
      <c r="A905" s="174"/>
      <c r="B905" s="1056"/>
      <c r="C905" s="1057"/>
      <c r="D905" s="1057"/>
      <c r="E905" s="1057"/>
      <c r="F905" s="1058"/>
      <c r="G905" s="165"/>
      <c r="H905" s="165"/>
      <c r="I905" s="121"/>
      <c r="J905" s="121"/>
    </row>
    <row r="906" spans="1:10" s="20" customFormat="1" hidden="1">
      <c r="A906" s="174" t="s">
        <v>38</v>
      </c>
      <c r="B906" s="1052" t="s">
        <v>71</v>
      </c>
      <c r="C906" s="1053"/>
      <c r="D906" s="1053"/>
      <c r="E906" s="1053"/>
      <c r="F906" s="1053"/>
      <c r="G906" s="100"/>
      <c r="H906" s="100"/>
    </row>
    <row r="907" spans="1:10" s="20" customFormat="1" hidden="1">
      <c r="A907" s="174"/>
      <c r="B907" s="339" t="s">
        <v>333</v>
      </c>
      <c r="C907" s="557"/>
      <c r="D907" s="557"/>
      <c r="E907" s="557"/>
      <c r="F907" s="557">
        <f>F903</f>
        <v>680.27570861111121</v>
      </c>
      <c r="G907" s="100"/>
      <c r="H907" s="100"/>
    </row>
    <row r="908" spans="1:10" s="20" customFormat="1" hidden="1">
      <c r="A908" s="174"/>
      <c r="B908" s="1054" t="s">
        <v>280</v>
      </c>
      <c r="C908" s="557"/>
      <c r="D908" s="100"/>
      <c r="E908" s="557">
        <f>((F891+F892)+(F891+F892)*0.15)/10</f>
        <v>171.92500000000001</v>
      </c>
      <c r="F908" s="557">
        <f>E908*0.05</f>
        <v>8.5962500000000013</v>
      </c>
      <c r="G908" s="100"/>
      <c r="H908" s="100"/>
    </row>
    <row r="909" spans="1:10" s="20" customFormat="1" hidden="1">
      <c r="A909" s="174"/>
      <c r="B909" s="339" t="s">
        <v>117</v>
      </c>
      <c r="C909" s="557"/>
      <c r="D909" s="557"/>
      <c r="E909" s="557"/>
      <c r="F909" s="557">
        <f>SUM(F907:F908)</f>
        <v>688.87195861111127</v>
      </c>
      <c r="G909" s="100"/>
      <c r="H909" s="100"/>
    </row>
    <row r="910" spans="1:10" s="20" customFormat="1" hidden="1">
      <c r="A910" s="174"/>
      <c r="B910" s="1056"/>
      <c r="C910" s="1053"/>
      <c r="D910" s="1053"/>
      <c r="E910" s="1053" t="s">
        <v>120</v>
      </c>
      <c r="F910" s="1053">
        <f>ROUND(F909,1)</f>
        <v>688.9</v>
      </c>
      <c r="G910" s="100"/>
      <c r="H910" s="100"/>
    </row>
    <row r="911" spans="1:10" s="20" customFormat="1" hidden="1">
      <c r="A911" s="100" t="s">
        <v>39</v>
      </c>
      <c r="B911" s="339" t="s">
        <v>267</v>
      </c>
      <c r="C911" s="102"/>
      <c r="D911" s="102"/>
      <c r="E911" s="102"/>
      <c r="F911" s="102"/>
      <c r="G911" s="100"/>
      <c r="H911" s="100"/>
    </row>
    <row r="912" spans="1:10" s="20" customFormat="1" hidden="1">
      <c r="A912" s="100"/>
      <c r="B912" s="339" t="s">
        <v>278</v>
      </c>
      <c r="C912" s="102"/>
      <c r="D912" s="102"/>
      <c r="E912" s="102"/>
      <c r="F912" s="102">
        <f>F909</f>
        <v>688.87195861111127</v>
      </c>
      <c r="G912" s="100"/>
      <c r="H912" s="100"/>
    </row>
    <row r="913" spans="1:10" s="20" customFormat="1" hidden="1">
      <c r="A913" s="100"/>
      <c r="B913" s="1054" t="s">
        <v>282</v>
      </c>
      <c r="C913" s="102"/>
      <c r="D913" s="102"/>
      <c r="E913" s="102">
        <f>E908+F908</f>
        <v>180.52125000000001</v>
      </c>
      <c r="F913" s="102">
        <f>E913*0.03</f>
        <v>5.4156374999999999</v>
      </c>
      <c r="G913" s="100"/>
      <c r="H913" s="100"/>
    </row>
    <row r="914" spans="1:10" s="20" customFormat="1" hidden="1">
      <c r="A914" s="100"/>
      <c r="B914" s="1055" t="s">
        <v>117</v>
      </c>
      <c r="C914" s="102"/>
      <c r="D914" s="102"/>
      <c r="E914" s="102"/>
      <c r="F914" s="102">
        <f>SUM(F912:F913)</f>
        <v>694.28759611111127</v>
      </c>
      <c r="G914" s="100"/>
      <c r="H914" s="100"/>
    </row>
    <row r="915" spans="1:10" s="20" customFormat="1" hidden="1">
      <c r="A915" s="100"/>
      <c r="B915" s="1056"/>
      <c r="C915" s="1058"/>
      <c r="D915" s="1058"/>
      <c r="E915" s="1058" t="s">
        <v>120</v>
      </c>
      <c r="F915" s="1058">
        <f>ROUND(F914,1)</f>
        <v>694.3</v>
      </c>
      <c r="G915" s="102"/>
      <c r="H915" s="100"/>
    </row>
    <row r="916" spans="1:10" s="149" customFormat="1" hidden="1">
      <c r="A916" s="174"/>
      <c r="B916" s="1056"/>
      <c r="C916" s="1057"/>
      <c r="D916" s="1057"/>
      <c r="E916" s="1057"/>
      <c r="F916" s="1058"/>
      <c r="G916" s="165"/>
      <c r="H916" s="165"/>
      <c r="I916" s="121"/>
      <c r="J916" s="121"/>
    </row>
    <row r="917" spans="1:10" s="149" customFormat="1" hidden="1">
      <c r="A917" s="126">
        <v>31</v>
      </c>
      <c r="B917" s="460" t="s">
        <v>1007</v>
      </c>
      <c r="C917" s="102"/>
      <c r="D917" s="102"/>
      <c r="E917" s="102"/>
      <c r="F917" s="364"/>
      <c r="G917" s="165"/>
      <c r="H917" s="165"/>
      <c r="I917" s="121"/>
      <c r="J917" s="121"/>
    </row>
    <row r="918" spans="1:10" s="149" customFormat="1" hidden="1">
      <c r="A918" s="164"/>
      <c r="B918" s="156" t="s">
        <v>1008</v>
      </c>
      <c r="C918" s="102"/>
      <c r="D918" s="102"/>
      <c r="E918" s="102"/>
      <c r="F918" s="364"/>
      <c r="G918" s="165"/>
      <c r="H918" s="165"/>
      <c r="I918" s="121"/>
      <c r="J918" s="121"/>
    </row>
    <row r="919" spans="1:10" s="149" customFormat="1" hidden="1">
      <c r="A919" s="164"/>
      <c r="B919" s="332" t="s">
        <v>14</v>
      </c>
      <c r="C919" s="102"/>
      <c r="D919" s="102"/>
      <c r="E919" s="102"/>
      <c r="F919" s="102"/>
      <c r="G919" s="165"/>
      <c r="H919" s="165"/>
      <c r="I919" s="121"/>
      <c r="J919" s="121"/>
    </row>
    <row r="920" spans="1:10" s="149" customFormat="1" hidden="1">
      <c r="A920" s="164"/>
      <c r="B920" s="1077" t="s">
        <v>150</v>
      </c>
      <c r="C920" s="102"/>
      <c r="D920" s="102"/>
      <c r="E920" s="102"/>
      <c r="F920" s="102"/>
      <c r="G920" s="165"/>
      <c r="H920" s="165"/>
      <c r="I920" s="121"/>
      <c r="J920" s="121"/>
    </row>
    <row r="921" spans="1:10" s="149" customFormat="1" hidden="1">
      <c r="A921" s="164"/>
      <c r="B921" s="332" t="s">
        <v>1009</v>
      </c>
      <c r="C921" s="102">
        <v>10</v>
      </c>
      <c r="D921" s="102" t="s">
        <v>32</v>
      </c>
      <c r="E921" s="102">
        <v>726</v>
      </c>
      <c r="F921" s="102">
        <f>E921*C921</f>
        <v>7260</v>
      </c>
      <c r="G921" s="165"/>
      <c r="H921" s="165"/>
      <c r="I921" s="121"/>
      <c r="J921" s="121"/>
    </row>
    <row r="922" spans="1:10" s="149" customFormat="1" hidden="1">
      <c r="A922" s="164"/>
      <c r="B922" s="332" t="s">
        <v>33</v>
      </c>
      <c r="C922" s="1048">
        <v>0.74399999999999999</v>
      </c>
      <c r="D922" s="1049" t="s">
        <v>127</v>
      </c>
      <c r="E922" s="1049">
        <f>Lead!E29</f>
        <v>650</v>
      </c>
      <c r="F922" s="1049">
        <f>C922*E922</f>
        <v>483.6</v>
      </c>
      <c r="G922" s="165"/>
      <c r="H922" s="165"/>
      <c r="I922" s="121"/>
      <c r="J922" s="121"/>
    </row>
    <row r="923" spans="1:10" s="149" customFormat="1" hidden="1">
      <c r="A923" s="164"/>
      <c r="B923" s="332" t="s">
        <v>162</v>
      </c>
      <c r="C923" s="1049">
        <v>0.21</v>
      </c>
      <c r="D923" s="1049" t="s">
        <v>123</v>
      </c>
      <c r="E923" s="1049">
        <f>Lead!E20</f>
        <v>55</v>
      </c>
      <c r="F923" s="1049">
        <f>C923*E923</f>
        <v>11.549999999999999</v>
      </c>
      <c r="G923" s="165"/>
      <c r="H923" s="165"/>
      <c r="I923" s="121"/>
      <c r="J923" s="121"/>
    </row>
    <row r="924" spans="1:10" s="149" customFormat="1" hidden="1">
      <c r="A924" s="164"/>
      <c r="B924" s="332" t="s">
        <v>33</v>
      </c>
      <c r="C924" s="1049">
        <v>0.33</v>
      </c>
      <c r="D924" s="1049" t="s">
        <v>127</v>
      </c>
      <c r="E924" s="1049">
        <f>E922</f>
        <v>650</v>
      </c>
      <c r="F924" s="1049">
        <f>C924*E924</f>
        <v>214.5</v>
      </c>
      <c r="G924" s="165"/>
      <c r="H924" s="165"/>
      <c r="I924" s="121"/>
      <c r="J924" s="121"/>
    </row>
    <row r="925" spans="1:10" s="149" customFormat="1" hidden="1">
      <c r="A925" s="164"/>
      <c r="B925" s="332" t="s">
        <v>332</v>
      </c>
      <c r="C925" s="1049">
        <v>7.5999999999999998E-2</v>
      </c>
      <c r="D925" s="1049" t="s">
        <v>127</v>
      </c>
      <c r="E925" s="1049">
        <v>1925</v>
      </c>
      <c r="F925" s="1049">
        <f>C925*E925</f>
        <v>146.29999999999998</v>
      </c>
      <c r="G925" s="165"/>
      <c r="H925" s="165"/>
      <c r="I925" s="121"/>
      <c r="J925" s="121"/>
    </row>
    <row r="926" spans="1:10" s="149" customFormat="1" hidden="1">
      <c r="A926" s="164"/>
      <c r="B926" s="1077" t="s">
        <v>152</v>
      </c>
      <c r="C926" s="102"/>
      <c r="D926" s="102"/>
      <c r="E926" s="102"/>
      <c r="F926" s="1049"/>
      <c r="G926" s="165"/>
      <c r="H926" s="165"/>
      <c r="I926" s="121"/>
      <c r="J926" s="121"/>
    </row>
    <row r="927" spans="1:10" s="149" customFormat="1" hidden="1">
      <c r="A927" s="164"/>
      <c r="B927" s="332" t="s">
        <v>155</v>
      </c>
      <c r="C927" s="1049" t="s">
        <v>17</v>
      </c>
      <c r="D927" s="1049" t="s">
        <v>114</v>
      </c>
      <c r="E927" s="1049">
        <f>Lead!E64</f>
        <v>260</v>
      </c>
      <c r="F927" s="1049">
        <f>C927*E927</f>
        <v>561.6</v>
      </c>
      <c r="G927" s="165"/>
      <c r="H927" s="165"/>
      <c r="I927" s="121"/>
      <c r="J927" s="121"/>
    </row>
    <row r="928" spans="1:10" s="149" customFormat="1" hidden="1">
      <c r="A928" s="164"/>
      <c r="B928" s="332" t="s">
        <v>113</v>
      </c>
      <c r="C928" s="1049" t="s">
        <v>17</v>
      </c>
      <c r="D928" s="1049" t="s">
        <v>114</v>
      </c>
      <c r="E928" s="1049">
        <f>Lead!E47</f>
        <v>200</v>
      </c>
      <c r="F928" s="1049">
        <f>C928*E928</f>
        <v>432</v>
      </c>
      <c r="G928" s="165"/>
      <c r="H928" s="165"/>
      <c r="I928" s="121"/>
      <c r="J928" s="121"/>
    </row>
    <row r="929" spans="1:10" s="149" customFormat="1" hidden="1">
      <c r="A929" s="164"/>
      <c r="B929" s="332" t="s">
        <v>658</v>
      </c>
      <c r="C929" s="102"/>
      <c r="D929" s="1049" t="s">
        <v>116</v>
      </c>
      <c r="E929" s="1049">
        <f>SUM(F921:F928)</f>
        <v>9109.5500000000011</v>
      </c>
      <c r="F929" s="1049">
        <f>E929*0.15</f>
        <v>1366.4325000000001</v>
      </c>
      <c r="G929" s="165"/>
      <c r="H929" s="165"/>
      <c r="I929" s="121"/>
      <c r="J929" s="121"/>
    </row>
    <row r="930" spans="1:10" s="149" customFormat="1" hidden="1">
      <c r="A930" s="164"/>
      <c r="B930" s="332" t="s">
        <v>117</v>
      </c>
      <c r="C930" s="102"/>
      <c r="D930" s="102"/>
      <c r="E930" s="102"/>
      <c r="F930" s="1049">
        <f>SUM(F921:F929)</f>
        <v>10475.982500000002</v>
      </c>
      <c r="G930" s="165"/>
      <c r="H930" s="165"/>
      <c r="I930" s="121"/>
      <c r="J930" s="121"/>
    </row>
    <row r="931" spans="1:10" s="149" customFormat="1" hidden="1">
      <c r="A931" s="164"/>
      <c r="B931" s="332" t="s">
        <v>60</v>
      </c>
      <c r="C931" s="102"/>
      <c r="D931" s="102"/>
      <c r="E931" s="102"/>
      <c r="F931" s="1049">
        <f>F930/10</f>
        <v>1047.5982500000002</v>
      </c>
      <c r="G931" s="165"/>
      <c r="H931" s="165"/>
      <c r="I931" s="121"/>
      <c r="J931" s="121"/>
    </row>
    <row r="932" spans="1:10" s="149" customFormat="1" hidden="1">
      <c r="A932" s="164"/>
      <c r="B932" s="1077" t="s">
        <v>124</v>
      </c>
      <c r="C932" s="102"/>
      <c r="D932" s="102"/>
      <c r="E932" s="102"/>
      <c r="F932" s="1049"/>
      <c r="G932" s="165"/>
      <c r="H932" s="165"/>
      <c r="I932" s="121"/>
      <c r="J932" s="121"/>
    </row>
    <row r="933" spans="1:10" s="149" customFormat="1" hidden="1">
      <c r="A933" s="164"/>
      <c r="B933" s="332" t="s">
        <v>2</v>
      </c>
      <c r="C933" s="1049">
        <v>1</v>
      </c>
      <c r="D933" s="1049" t="s">
        <v>32</v>
      </c>
      <c r="E933" s="1049">
        <f>1010.8/180</f>
        <v>5.615555555555555</v>
      </c>
      <c r="F933" s="1049">
        <f>E933/C933</f>
        <v>5.615555555555555</v>
      </c>
      <c r="G933" s="165"/>
      <c r="H933" s="165"/>
      <c r="I933" s="121"/>
      <c r="J933" s="121"/>
    </row>
    <row r="934" spans="1:10" s="149" customFormat="1" hidden="1">
      <c r="A934" s="164"/>
      <c r="B934" s="332" t="s">
        <v>151</v>
      </c>
      <c r="C934" s="1049">
        <v>0.21</v>
      </c>
      <c r="D934" s="1049" t="s">
        <v>123</v>
      </c>
      <c r="E934" s="1049">
        <f>Lead!J20</f>
        <v>196.4</v>
      </c>
      <c r="F934" s="1049">
        <f>E934*C934/10</f>
        <v>4.1243999999999996</v>
      </c>
      <c r="G934" s="165"/>
      <c r="H934" s="165"/>
      <c r="I934" s="121"/>
      <c r="J934" s="121"/>
    </row>
    <row r="935" spans="1:10" s="149" customFormat="1" hidden="1">
      <c r="A935" s="164"/>
      <c r="B935" s="332" t="s">
        <v>33</v>
      </c>
      <c r="C935" s="1049">
        <f>C922+C924+C925</f>
        <v>1.1500000000000001</v>
      </c>
      <c r="D935" s="1049" t="s">
        <v>127</v>
      </c>
      <c r="E935" s="1049">
        <f>Lead!J29</f>
        <v>16.899999999999999</v>
      </c>
      <c r="F935" s="1049">
        <f>E935*C935/10</f>
        <v>1.9435000000000002</v>
      </c>
      <c r="G935" s="165"/>
      <c r="H935" s="165"/>
      <c r="I935" s="121"/>
      <c r="J935" s="121"/>
    </row>
    <row r="936" spans="1:10" s="149" customFormat="1" hidden="1">
      <c r="A936" s="164"/>
      <c r="B936" s="332" t="s">
        <v>117</v>
      </c>
      <c r="C936" s="102"/>
      <c r="D936" s="102"/>
      <c r="E936" s="102"/>
      <c r="F936" s="1049">
        <f>SUM(F931:F935)</f>
        <v>1059.2817055555558</v>
      </c>
      <c r="G936" s="165"/>
      <c r="H936" s="165"/>
      <c r="I936" s="121"/>
      <c r="J936" s="121"/>
    </row>
    <row r="937" spans="1:10" s="149" customFormat="1" hidden="1">
      <c r="A937" s="164"/>
      <c r="B937" s="1055" t="s">
        <v>493</v>
      </c>
      <c r="C937" s="1050"/>
      <c r="D937" s="1050"/>
      <c r="E937" s="1050"/>
      <c r="F937" s="1049">
        <f>F936*0.01</f>
        <v>10.592817055555559</v>
      </c>
      <c r="G937" s="165"/>
      <c r="H937" s="165"/>
      <c r="I937" s="121"/>
      <c r="J937" s="121"/>
    </row>
    <row r="938" spans="1:10" s="149" customFormat="1" hidden="1">
      <c r="A938" s="164"/>
      <c r="B938" s="1055" t="s">
        <v>117</v>
      </c>
      <c r="C938" s="1050"/>
      <c r="D938" s="1050"/>
      <c r="E938" s="1050"/>
      <c r="F938" s="1049">
        <f>SUM(F936:F937)</f>
        <v>1069.8745226111114</v>
      </c>
      <c r="G938" s="165"/>
      <c r="H938" s="165"/>
      <c r="I938" s="121"/>
      <c r="J938" s="121"/>
    </row>
    <row r="939" spans="1:10" s="149" customFormat="1" hidden="1">
      <c r="A939" s="164"/>
      <c r="B939" s="1056"/>
      <c r="C939" s="1057"/>
      <c r="D939" s="1057"/>
      <c r="E939" s="1057" t="s">
        <v>120</v>
      </c>
      <c r="F939" s="1058">
        <f>ROUND(F938,1)</f>
        <v>1069.9000000000001</v>
      </c>
      <c r="G939" s="165"/>
      <c r="H939" s="165"/>
      <c r="I939" s="121"/>
      <c r="J939" s="121"/>
    </row>
    <row r="940" spans="1:10" s="149" customFormat="1" hidden="1">
      <c r="A940" s="164"/>
      <c r="B940" s="1056"/>
      <c r="C940" s="1057"/>
      <c r="D940" s="1057"/>
      <c r="E940" s="1057"/>
      <c r="F940" s="1058"/>
      <c r="G940" s="165"/>
      <c r="H940" s="165"/>
      <c r="I940" s="121"/>
      <c r="J940" s="121"/>
    </row>
    <row r="941" spans="1:10" s="20" customFormat="1" hidden="1">
      <c r="A941" s="174" t="s">
        <v>38</v>
      </c>
      <c r="B941" s="1052" t="s">
        <v>71</v>
      </c>
      <c r="C941" s="1053"/>
      <c r="D941" s="1053"/>
      <c r="E941" s="1053"/>
      <c r="F941" s="1053"/>
      <c r="G941" s="100"/>
      <c r="H941" s="100"/>
    </row>
    <row r="942" spans="1:10" s="20" customFormat="1" hidden="1">
      <c r="A942" s="174"/>
      <c r="B942" s="339" t="s">
        <v>333</v>
      </c>
      <c r="C942" s="557"/>
      <c r="D942" s="557"/>
      <c r="E942" s="557"/>
      <c r="F942" s="557">
        <f>F939</f>
        <v>1069.9000000000001</v>
      </c>
      <c r="G942" s="100"/>
      <c r="H942" s="100"/>
    </row>
    <row r="943" spans="1:10" s="20" customFormat="1" hidden="1">
      <c r="A943" s="174"/>
      <c r="B943" s="1054" t="s">
        <v>280</v>
      </c>
      <c r="C943" s="557"/>
      <c r="D943" s="100"/>
      <c r="E943" s="557">
        <f>((F927+F928)+(F927+F928)*0.15)/10</f>
        <v>114.26400000000001</v>
      </c>
      <c r="F943" s="557">
        <f>E943*0.05</f>
        <v>5.7132000000000005</v>
      </c>
      <c r="G943" s="100"/>
      <c r="H943" s="100"/>
    </row>
    <row r="944" spans="1:10" s="20" customFormat="1" hidden="1">
      <c r="A944" s="174"/>
      <c r="B944" s="339" t="s">
        <v>117</v>
      </c>
      <c r="C944" s="557"/>
      <c r="D944" s="557"/>
      <c r="E944" s="557"/>
      <c r="F944" s="557">
        <f>SUM(F942:F943)</f>
        <v>1075.6132</v>
      </c>
      <c r="G944" s="100"/>
      <c r="H944" s="100"/>
    </row>
    <row r="945" spans="1:10" s="20" customFormat="1" hidden="1">
      <c r="A945" s="174"/>
      <c r="B945" s="1056"/>
      <c r="C945" s="1053"/>
      <c r="D945" s="1053"/>
      <c r="E945" s="1053" t="s">
        <v>120</v>
      </c>
      <c r="F945" s="1053">
        <f>ROUND(F944,1)</f>
        <v>1075.5999999999999</v>
      </c>
      <c r="G945" s="100"/>
      <c r="H945" s="100"/>
    </row>
    <row r="946" spans="1:10" s="20" customFormat="1" hidden="1">
      <c r="A946" s="100" t="s">
        <v>39</v>
      </c>
      <c r="B946" s="339" t="s">
        <v>267</v>
      </c>
      <c r="C946" s="102"/>
      <c r="D946" s="102"/>
      <c r="E946" s="102"/>
      <c r="F946" s="102"/>
      <c r="G946" s="100"/>
      <c r="H946" s="100"/>
    </row>
    <row r="947" spans="1:10" s="20" customFormat="1" hidden="1">
      <c r="A947" s="100"/>
      <c r="B947" s="339" t="s">
        <v>278</v>
      </c>
      <c r="C947" s="102"/>
      <c r="D947" s="102"/>
      <c r="E947" s="102"/>
      <c r="F947" s="102">
        <f>F944</f>
        <v>1075.6132</v>
      </c>
      <c r="G947" s="100"/>
      <c r="H947" s="100"/>
    </row>
    <row r="948" spans="1:10" s="20" customFormat="1" hidden="1">
      <c r="A948" s="100"/>
      <c r="B948" s="1054" t="s">
        <v>282</v>
      </c>
      <c r="C948" s="102"/>
      <c r="D948" s="102"/>
      <c r="E948" s="102">
        <f>E943+F943</f>
        <v>119.97720000000001</v>
      </c>
      <c r="F948" s="102">
        <f>E948*0.03</f>
        <v>3.599316</v>
      </c>
      <c r="G948" s="100"/>
      <c r="H948" s="100"/>
    </row>
    <row r="949" spans="1:10" s="20" customFormat="1" hidden="1">
      <c r="A949" s="100"/>
      <c r="B949" s="1055" t="s">
        <v>117</v>
      </c>
      <c r="C949" s="102"/>
      <c r="D949" s="102"/>
      <c r="E949" s="102"/>
      <c r="F949" s="102">
        <f>SUM(F947:F948)</f>
        <v>1079.2125160000001</v>
      </c>
      <c r="G949" s="100"/>
      <c r="H949" s="100"/>
    </row>
    <row r="950" spans="1:10" s="20" customFormat="1" hidden="1">
      <c r="A950" s="100"/>
      <c r="B950" s="1056"/>
      <c r="C950" s="1058"/>
      <c r="D950" s="1058"/>
      <c r="E950" s="1058" t="s">
        <v>120</v>
      </c>
      <c r="F950" s="1058">
        <f>ROUND(F949,1)</f>
        <v>1079.2</v>
      </c>
      <c r="G950" s="102"/>
      <c r="H950" s="100"/>
    </row>
    <row r="951" spans="1:10" s="149" customFormat="1" hidden="1">
      <c r="A951" s="164"/>
      <c r="B951" s="164"/>
      <c r="C951" s="165"/>
      <c r="D951" s="165"/>
      <c r="E951" s="165"/>
      <c r="F951" s="165"/>
      <c r="G951" s="165"/>
      <c r="H951" s="165"/>
      <c r="I951" s="121"/>
      <c r="J951" s="121"/>
    </row>
    <row r="952" spans="1:10" s="149" customFormat="1" hidden="1">
      <c r="A952" s="126">
        <v>32</v>
      </c>
      <c r="B952" s="1056" t="s">
        <v>1049</v>
      </c>
      <c r="C952" s="1057"/>
      <c r="D952" s="1057"/>
      <c r="E952" s="1057"/>
      <c r="F952" s="1058"/>
      <c r="G952" s="165"/>
      <c r="H952" s="165"/>
      <c r="I952" s="121"/>
      <c r="J952" s="121"/>
    </row>
    <row r="953" spans="1:10" s="149" customFormat="1" hidden="1">
      <c r="A953" s="164"/>
      <c r="B953" s="332" t="s">
        <v>14</v>
      </c>
      <c r="C953" s="100"/>
      <c r="D953" s="100"/>
      <c r="E953" s="100"/>
      <c r="F953" s="100"/>
      <c r="G953" s="165"/>
      <c r="H953" s="165"/>
      <c r="I953" s="121"/>
      <c r="J953" s="121"/>
    </row>
    <row r="954" spans="1:10" s="149" customFormat="1" hidden="1">
      <c r="A954" s="164"/>
      <c r="B954" s="1077" t="s">
        <v>150</v>
      </c>
      <c r="C954" s="100"/>
      <c r="D954" s="100"/>
      <c r="E954" s="100"/>
      <c r="F954" s="100"/>
      <c r="G954" s="165"/>
      <c r="H954" s="165"/>
      <c r="I954" s="121"/>
      <c r="J954" s="121"/>
    </row>
    <row r="955" spans="1:10" s="149" customFormat="1" hidden="1">
      <c r="A955" s="164"/>
      <c r="B955" s="332" t="s">
        <v>33</v>
      </c>
      <c r="C955" s="1050">
        <v>0.71499999999999997</v>
      </c>
      <c r="D955" s="1050" t="s">
        <v>127</v>
      </c>
      <c r="E955" s="1049">
        <f>Lead!E29</f>
        <v>650</v>
      </c>
      <c r="F955" s="1051">
        <f>C955*E955</f>
        <v>464.75</v>
      </c>
      <c r="G955" s="165"/>
      <c r="H955" s="165"/>
      <c r="I955" s="121"/>
      <c r="J955" s="121"/>
    </row>
    <row r="956" spans="1:10" s="149" customFormat="1" hidden="1">
      <c r="A956" s="164"/>
      <c r="B956" s="332" t="s">
        <v>162</v>
      </c>
      <c r="C956" s="1050">
        <v>0.15</v>
      </c>
      <c r="D956" s="1050" t="s">
        <v>123</v>
      </c>
      <c r="E956" s="1049">
        <f>Lead!E20</f>
        <v>55</v>
      </c>
      <c r="F956" s="1051">
        <f>C956*E956</f>
        <v>8.25</v>
      </c>
      <c r="G956" s="165"/>
      <c r="H956" s="165"/>
      <c r="I956" s="121"/>
      <c r="J956" s="121"/>
    </row>
    <row r="957" spans="1:10" s="149" customFormat="1" hidden="1">
      <c r="A957" s="164"/>
      <c r="B957" s="332" t="s">
        <v>33</v>
      </c>
      <c r="C957" s="1050">
        <v>0.66</v>
      </c>
      <c r="D957" s="1050" t="s">
        <v>127</v>
      </c>
      <c r="E957" s="1049">
        <f>E955</f>
        <v>650</v>
      </c>
      <c r="F957" s="1051">
        <f>C957*E957</f>
        <v>429</v>
      </c>
      <c r="G957" s="165"/>
      <c r="H957" s="165"/>
      <c r="I957" s="121"/>
      <c r="J957" s="121"/>
    </row>
    <row r="958" spans="1:10" s="149" customFormat="1" hidden="1">
      <c r="A958" s="164"/>
      <c r="B958" s="1077" t="s">
        <v>152</v>
      </c>
      <c r="C958" s="100"/>
      <c r="D958" s="100"/>
      <c r="E958" s="102"/>
      <c r="F958" s="1051"/>
      <c r="G958" s="165"/>
      <c r="H958" s="165"/>
      <c r="I958" s="121"/>
      <c r="J958" s="121"/>
    </row>
    <row r="959" spans="1:10" s="149" customFormat="1" hidden="1">
      <c r="A959" s="164"/>
      <c r="B959" s="332" t="s">
        <v>155</v>
      </c>
      <c r="C959" s="1050">
        <v>3.25</v>
      </c>
      <c r="D959" s="1050" t="s">
        <v>114</v>
      </c>
      <c r="E959" s="1049">
        <f>Lead!E64</f>
        <v>260</v>
      </c>
      <c r="F959" s="1051">
        <f>C959*E959</f>
        <v>845</v>
      </c>
      <c r="G959" s="165"/>
      <c r="H959" s="165"/>
      <c r="I959" s="121"/>
      <c r="J959" s="121"/>
    </row>
    <row r="960" spans="1:10" s="149" customFormat="1" hidden="1">
      <c r="A960" s="164"/>
      <c r="B960" s="332" t="s">
        <v>113</v>
      </c>
      <c r="C960" s="1050">
        <v>3.25</v>
      </c>
      <c r="D960" s="1050" t="s">
        <v>114</v>
      </c>
      <c r="E960" s="1049">
        <f>Lead!E47</f>
        <v>200</v>
      </c>
      <c r="F960" s="1051">
        <f>C960*E960</f>
        <v>650</v>
      </c>
      <c r="G960" s="165"/>
      <c r="H960" s="165"/>
      <c r="I960" s="121"/>
      <c r="J960" s="121"/>
    </row>
    <row r="961" spans="1:10" s="149" customFormat="1" hidden="1">
      <c r="A961" s="164"/>
      <c r="B961" s="332" t="s">
        <v>658</v>
      </c>
      <c r="C961" s="100"/>
      <c r="D961" s="1050" t="s">
        <v>116</v>
      </c>
      <c r="E961" s="1051">
        <f>SUM(F955:F960)</f>
        <v>2397</v>
      </c>
      <c r="F961" s="1051">
        <f>E961*0.15</f>
        <v>359.55</v>
      </c>
      <c r="G961" s="165"/>
      <c r="H961" s="165"/>
      <c r="I961" s="121"/>
      <c r="J961" s="121"/>
    </row>
    <row r="962" spans="1:10" s="149" customFormat="1" hidden="1">
      <c r="A962" s="164"/>
      <c r="B962" s="332" t="s">
        <v>117</v>
      </c>
      <c r="C962" s="100"/>
      <c r="D962" s="100"/>
      <c r="E962" s="100"/>
      <c r="F962" s="1051">
        <f>SUM(F955:F961)</f>
        <v>2756.55</v>
      </c>
      <c r="G962" s="165"/>
      <c r="H962" s="165"/>
      <c r="I962" s="121"/>
      <c r="J962" s="121"/>
    </row>
    <row r="963" spans="1:10" s="149" customFormat="1" hidden="1">
      <c r="A963" s="164"/>
      <c r="B963" s="332" t="s">
        <v>60</v>
      </c>
      <c r="C963" s="100"/>
      <c r="D963" s="100"/>
      <c r="E963" s="100"/>
      <c r="F963" s="1051">
        <f>F962/10</f>
        <v>275.65500000000003</v>
      </c>
      <c r="G963" s="165"/>
      <c r="H963" s="165"/>
      <c r="I963" s="121"/>
      <c r="J963" s="121"/>
    </row>
    <row r="964" spans="1:10" s="149" customFormat="1" hidden="1">
      <c r="A964" s="164"/>
      <c r="B964" s="332" t="s">
        <v>296</v>
      </c>
      <c r="C964" s="1050" t="s">
        <v>112</v>
      </c>
      <c r="D964" s="1050" t="s">
        <v>161</v>
      </c>
      <c r="E964" s="1049">
        <f>E921</f>
        <v>726</v>
      </c>
      <c r="F964" s="1051">
        <f>C964*E964</f>
        <v>726</v>
      </c>
      <c r="G964" s="165"/>
      <c r="H964" s="165"/>
      <c r="I964" s="121"/>
      <c r="J964" s="121"/>
    </row>
    <row r="965" spans="1:10" s="149" customFormat="1" hidden="1">
      <c r="A965" s="164"/>
      <c r="B965" s="1077" t="s">
        <v>124</v>
      </c>
      <c r="C965" s="100"/>
      <c r="D965" s="100"/>
      <c r="E965" s="100"/>
      <c r="F965" s="1051"/>
      <c r="G965" s="165"/>
      <c r="H965" s="165"/>
      <c r="I965" s="121"/>
      <c r="J965" s="121"/>
    </row>
    <row r="966" spans="1:10" s="149" customFormat="1" hidden="1">
      <c r="A966" s="164"/>
      <c r="B966" s="332" t="s">
        <v>2</v>
      </c>
      <c r="C966" s="1050">
        <v>1</v>
      </c>
      <c r="D966" s="1050" t="s">
        <v>32</v>
      </c>
      <c r="E966" s="1049">
        <f>1010.8/180</f>
        <v>5.615555555555555</v>
      </c>
      <c r="F966" s="1051">
        <f>E966/C966</f>
        <v>5.615555555555555</v>
      </c>
      <c r="G966" s="165"/>
      <c r="H966" s="165"/>
      <c r="I966" s="121"/>
      <c r="J966" s="121"/>
    </row>
    <row r="967" spans="1:10" s="149" customFormat="1" hidden="1">
      <c r="A967" s="164"/>
      <c r="B967" s="332" t="s">
        <v>151</v>
      </c>
      <c r="C967" s="1050">
        <v>0.15</v>
      </c>
      <c r="D967" s="1050" t="s">
        <v>123</v>
      </c>
      <c r="E967" s="1049">
        <f>Lead!J20</f>
        <v>196.4</v>
      </c>
      <c r="F967" s="1051">
        <f>E967*C967/10</f>
        <v>2.9460000000000002</v>
      </c>
      <c r="G967" s="165"/>
      <c r="H967" s="165"/>
      <c r="I967" s="121"/>
      <c r="J967" s="121"/>
    </row>
    <row r="968" spans="1:10" s="149" customFormat="1" hidden="1">
      <c r="A968" s="164"/>
      <c r="B968" s="332" t="s">
        <v>33</v>
      </c>
      <c r="C968" s="1050">
        <f>C955+C957</f>
        <v>1.375</v>
      </c>
      <c r="D968" s="1050" t="s">
        <v>127</v>
      </c>
      <c r="E968" s="1049">
        <f>Lead!J29</f>
        <v>16.899999999999999</v>
      </c>
      <c r="F968" s="1051">
        <f>E968*C968/10</f>
        <v>2.3237499999999995</v>
      </c>
      <c r="G968" s="165"/>
      <c r="H968" s="165"/>
      <c r="I968" s="121"/>
      <c r="J968" s="121"/>
    </row>
    <row r="969" spans="1:10" s="149" customFormat="1" hidden="1">
      <c r="A969" s="164"/>
      <c r="B969" s="332" t="s">
        <v>117</v>
      </c>
      <c r="C969" s="100"/>
      <c r="D969" s="100"/>
      <c r="E969" s="100"/>
      <c r="F969" s="1051">
        <f>SUM(F963:F968)</f>
        <v>1012.5403055555556</v>
      </c>
      <c r="G969" s="165"/>
      <c r="H969" s="165"/>
      <c r="I969" s="121"/>
      <c r="J969" s="121"/>
    </row>
    <row r="970" spans="1:10" s="149" customFormat="1" hidden="1">
      <c r="A970" s="164"/>
      <c r="B970" s="1055" t="s">
        <v>493</v>
      </c>
      <c r="C970" s="1050"/>
      <c r="D970" s="1050"/>
      <c r="E970" s="1050"/>
      <c r="F970" s="1051">
        <f>F969*0.01</f>
        <v>10.125403055555557</v>
      </c>
      <c r="G970" s="165"/>
      <c r="H970" s="165"/>
      <c r="I970" s="121"/>
      <c r="J970" s="121"/>
    </row>
    <row r="971" spans="1:10" s="149" customFormat="1" hidden="1">
      <c r="A971" s="164"/>
      <c r="B971" s="1055" t="s">
        <v>117</v>
      </c>
      <c r="C971" s="1050"/>
      <c r="D971" s="1050"/>
      <c r="E971" s="1050"/>
      <c r="F971" s="1051">
        <f>SUM(F969:F970)</f>
        <v>1022.6657086111112</v>
      </c>
      <c r="G971" s="165"/>
      <c r="H971" s="165"/>
      <c r="I971" s="121"/>
      <c r="J971" s="121"/>
    </row>
    <row r="972" spans="1:10" s="149" customFormat="1" hidden="1">
      <c r="A972" s="164"/>
      <c r="B972" s="1056"/>
      <c r="C972" s="1057"/>
      <c r="D972" s="1057"/>
      <c r="E972" s="1057" t="s">
        <v>120</v>
      </c>
      <c r="F972" s="1058">
        <f>ROUND(F971,1)</f>
        <v>1022.7</v>
      </c>
      <c r="G972" s="165"/>
      <c r="H972" s="165"/>
      <c r="I972" s="121"/>
      <c r="J972" s="121"/>
    </row>
    <row r="973" spans="1:10" s="20" customFormat="1" hidden="1">
      <c r="A973" s="174" t="s">
        <v>38</v>
      </c>
      <c r="B973" s="1052" t="s">
        <v>71</v>
      </c>
      <c r="C973" s="1057"/>
      <c r="D973" s="1057"/>
      <c r="E973" s="1057"/>
      <c r="F973" s="1058"/>
      <c r="G973" s="102"/>
      <c r="H973" s="100"/>
    </row>
    <row r="974" spans="1:10" s="20" customFormat="1" hidden="1">
      <c r="A974" s="174"/>
      <c r="B974" s="339" t="s">
        <v>333</v>
      </c>
      <c r="C974" s="102"/>
      <c r="D974" s="102"/>
      <c r="E974" s="102"/>
      <c r="F974" s="102">
        <f>F971</f>
        <v>1022.6657086111112</v>
      </c>
      <c r="G974" s="102"/>
      <c r="H974" s="100"/>
    </row>
    <row r="975" spans="1:10" s="20" customFormat="1" ht="25.5" hidden="1">
      <c r="A975" s="174"/>
      <c r="B975" s="1054" t="s">
        <v>334</v>
      </c>
      <c r="C975" s="102"/>
      <c r="D975" s="1049"/>
      <c r="E975" s="102">
        <f>((F959+F960)+(F959+F960)*0.15)/10</f>
        <v>171.92500000000001</v>
      </c>
      <c r="F975" s="102">
        <f>E975*0.05</f>
        <v>8.5962500000000013</v>
      </c>
      <c r="G975" s="102"/>
      <c r="H975" s="100"/>
    </row>
    <row r="976" spans="1:10" s="20" customFormat="1" hidden="1">
      <c r="A976" s="174"/>
      <c r="B976" s="339" t="s">
        <v>117</v>
      </c>
      <c r="C976" s="102"/>
      <c r="D976" s="102"/>
      <c r="E976" s="102"/>
      <c r="F976" s="102">
        <f>SUM(F974:F975)</f>
        <v>1031.2619586111111</v>
      </c>
      <c r="G976" s="102"/>
      <c r="H976" s="100"/>
    </row>
    <row r="977" spans="1:12" s="20" customFormat="1" hidden="1">
      <c r="A977" s="174"/>
      <c r="B977" s="1056"/>
      <c r="C977" s="1058"/>
      <c r="D977" s="1058"/>
      <c r="E977" s="1058" t="s">
        <v>120</v>
      </c>
      <c r="F977" s="1058">
        <f>ROUND(F976,1)</f>
        <v>1031.3</v>
      </c>
      <c r="G977" s="102"/>
      <c r="H977" s="100"/>
    </row>
    <row r="978" spans="1:12" s="20" customFormat="1" hidden="1">
      <c r="A978" s="174" t="s">
        <v>39</v>
      </c>
      <c r="B978" s="1052" t="s">
        <v>267</v>
      </c>
      <c r="C978" s="1057"/>
      <c r="D978" s="1057"/>
      <c r="E978" s="1057"/>
      <c r="F978" s="1058"/>
      <c r="G978" s="102"/>
      <c r="H978" s="100"/>
    </row>
    <row r="979" spans="1:12" s="20" customFormat="1" hidden="1">
      <c r="A979" s="174"/>
      <c r="B979" s="339" t="s">
        <v>335</v>
      </c>
      <c r="C979" s="102"/>
      <c r="D979" s="102"/>
      <c r="E979" s="102"/>
      <c r="F979" s="102">
        <f>F976</f>
        <v>1031.2619586111111</v>
      </c>
      <c r="G979" s="102"/>
      <c r="H979" s="100"/>
    </row>
    <row r="980" spans="1:12" s="20" customFormat="1" ht="25.5" hidden="1">
      <c r="A980" s="174"/>
      <c r="B980" s="1054" t="s">
        <v>336</v>
      </c>
      <c r="C980" s="102"/>
      <c r="D980" s="102"/>
      <c r="E980" s="102">
        <f>E975+F975</f>
        <v>180.52125000000001</v>
      </c>
      <c r="F980" s="102">
        <f>E980*0.05</f>
        <v>9.0260625000000001</v>
      </c>
      <c r="G980" s="102"/>
      <c r="H980" s="100"/>
    </row>
    <row r="981" spans="1:12" s="20" customFormat="1" hidden="1">
      <c r="A981" s="174"/>
      <c r="B981" s="339" t="s">
        <v>117</v>
      </c>
      <c r="C981" s="102"/>
      <c r="D981" s="102"/>
      <c r="E981" s="102"/>
      <c r="F981" s="102">
        <f>SUM(F979:F980)</f>
        <v>1040.2880211111112</v>
      </c>
      <c r="G981" s="102"/>
      <c r="H981" s="100"/>
    </row>
    <row r="982" spans="1:12" s="20" customFormat="1" hidden="1">
      <c r="A982" s="174"/>
      <c r="B982" s="1056"/>
      <c r="C982" s="1058"/>
      <c r="D982" s="1058"/>
      <c r="E982" s="1058" t="s">
        <v>120</v>
      </c>
      <c r="F982" s="1058">
        <f>ROUND(F981,1)</f>
        <v>1040.3</v>
      </c>
      <c r="G982" s="102"/>
      <c r="H982" s="100"/>
    </row>
    <row r="983" spans="1:12" s="149" customFormat="1" hidden="1">
      <c r="A983" s="164"/>
      <c r="B983" s="164"/>
      <c r="C983" s="165"/>
      <c r="D983" s="165"/>
      <c r="E983" s="165"/>
      <c r="F983" s="165"/>
      <c r="G983" s="165"/>
      <c r="H983" s="165"/>
      <c r="I983" s="121"/>
      <c r="J983" s="121"/>
    </row>
    <row r="984" spans="1:12" s="20" customFormat="1" ht="76.5" hidden="1">
      <c r="A984" s="126">
        <v>34</v>
      </c>
      <c r="B984" s="460" t="s">
        <v>1060</v>
      </c>
      <c r="C984" s="100"/>
      <c r="D984" s="100" t="s">
        <v>165</v>
      </c>
      <c r="E984" s="100"/>
      <c r="F984" s="100"/>
      <c r="G984" s="100"/>
      <c r="H984" s="100"/>
    </row>
    <row r="985" spans="1:12" s="20" customFormat="1" hidden="1">
      <c r="A985" s="174"/>
      <c r="B985" s="156" t="s">
        <v>14</v>
      </c>
      <c r="C985" s="100"/>
      <c r="D985" s="100"/>
      <c r="E985" s="100"/>
      <c r="F985" s="100"/>
      <c r="G985" s="100"/>
      <c r="H985" s="100"/>
    </row>
    <row r="986" spans="1:12" s="20" customFormat="1" hidden="1">
      <c r="A986" s="174"/>
      <c r="B986" s="460" t="s">
        <v>150</v>
      </c>
      <c r="C986" s="100"/>
      <c r="D986" s="100"/>
      <c r="E986" s="100"/>
      <c r="F986" s="100"/>
      <c r="G986" s="100"/>
      <c r="H986" s="100"/>
    </row>
    <row r="987" spans="1:12" s="20" customFormat="1" hidden="1">
      <c r="A987" s="174"/>
      <c r="B987" s="156" t="s">
        <v>33</v>
      </c>
      <c r="C987" s="100">
        <v>0.71499999999999997</v>
      </c>
      <c r="D987" s="100" t="s">
        <v>127</v>
      </c>
      <c r="E987" s="102">
        <f>Lead!E29</f>
        <v>650</v>
      </c>
      <c r="F987" s="250">
        <f>C987*E987</f>
        <v>464.75</v>
      </c>
      <c r="G987" s="100"/>
      <c r="H987" s="100"/>
    </row>
    <row r="988" spans="1:12" s="20" customFormat="1" hidden="1">
      <c r="A988" s="174"/>
      <c r="B988" s="156" t="s">
        <v>162</v>
      </c>
      <c r="C988" s="100">
        <v>0.15</v>
      </c>
      <c r="D988" s="100" t="s">
        <v>123</v>
      </c>
      <c r="E988" s="102">
        <f>Lead!E20</f>
        <v>55</v>
      </c>
      <c r="F988" s="250">
        <f>C988*E988</f>
        <v>8.25</v>
      </c>
      <c r="G988" s="100"/>
      <c r="H988" s="100"/>
    </row>
    <row r="989" spans="1:12" s="20" customFormat="1" hidden="1">
      <c r="A989" s="174"/>
      <c r="B989" s="156" t="s">
        <v>33</v>
      </c>
      <c r="C989" s="100">
        <v>0.66</v>
      </c>
      <c r="D989" s="100" t="s">
        <v>127</v>
      </c>
      <c r="E989" s="102">
        <f>E987</f>
        <v>650</v>
      </c>
      <c r="F989" s="250">
        <f>C989*E989</f>
        <v>429</v>
      </c>
      <c r="G989" s="100"/>
      <c r="H989" s="100"/>
      <c r="I989" s="116"/>
      <c r="K989" s="50"/>
      <c r="L989" s="50"/>
    </row>
    <row r="990" spans="1:12" s="20" customFormat="1" hidden="1">
      <c r="A990" s="174"/>
      <c r="B990" s="460" t="s">
        <v>152</v>
      </c>
      <c r="C990" s="100"/>
      <c r="D990" s="100"/>
      <c r="E990" s="102"/>
      <c r="F990" s="250"/>
      <c r="G990" s="100"/>
      <c r="H990" s="100"/>
      <c r="I990" s="50"/>
      <c r="K990" s="50"/>
      <c r="L990" s="50"/>
    </row>
    <row r="991" spans="1:12" s="20" customFormat="1" hidden="1">
      <c r="A991" s="174"/>
      <c r="B991" s="156" t="s">
        <v>155</v>
      </c>
      <c r="C991" s="100">
        <v>3.25</v>
      </c>
      <c r="D991" s="100" t="s">
        <v>114</v>
      </c>
      <c r="E991" s="102">
        <f>Lead!E64</f>
        <v>260</v>
      </c>
      <c r="F991" s="250">
        <f>C991*E991</f>
        <v>845</v>
      </c>
      <c r="G991" s="100"/>
      <c r="H991" s="100"/>
      <c r="K991" s="50"/>
      <c r="L991" s="50"/>
    </row>
    <row r="992" spans="1:12" s="20" customFormat="1" hidden="1">
      <c r="A992" s="174"/>
      <c r="B992" s="156" t="s">
        <v>113</v>
      </c>
      <c r="C992" s="100">
        <v>3.25</v>
      </c>
      <c r="D992" s="100" t="s">
        <v>114</v>
      </c>
      <c r="E992" s="102">
        <f>Lead!E47</f>
        <v>200</v>
      </c>
      <c r="F992" s="250">
        <f>C992*E992</f>
        <v>650</v>
      </c>
      <c r="G992" s="100"/>
      <c r="H992" s="100"/>
      <c r="I992" s="50"/>
      <c r="K992" s="50"/>
      <c r="L992" s="50"/>
    </row>
    <row r="993" spans="1:12" s="20" customFormat="1" hidden="1">
      <c r="A993" s="174"/>
      <c r="B993" s="156" t="s">
        <v>1061</v>
      </c>
      <c r="C993" s="100"/>
      <c r="D993" s="100" t="s">
        <v>116</v>
      </c>
      <c r="E993" s="250">
        <f>SUM(F987:F992)</f>
        <v>2397</v>
      </c>
      <c r="F993" s="250">
        <f>E993*0.15</f>
        <v>359.55</v>
      </c>
      <c r="G993" s="100"/>
      <c r="H993" s="100"/>
      <c r="I993" s="50"/>
      <c r="K993" s="50"/>
      <c r="L993" s="50"/>
    </row>
    <row r="994" spans="1:12" s="20" customFormat="1" hidden="1">
      <c r="A994" s="174"/>
      <c r="B994" s="156" t="s">
        <v>117</v>
      </c>
      <c r="C994" s="100"/>
      <c r="D994" s="100"/>
      <c r="E994" s="100"/>
      <c r="F994" s="250">
        <f>SUM(F987:F993)</f>
        <v>2756.55</v>
      </c>
      <c r="G994" s="100"/>
      <c r="H994" s="100"/>
      <c r="I994" s="50"/>
      <c r="K994" s="50"/>
      <c r="L994" s="50"/>
    </row>
    <row r="995" spans="1:12" s="20" customFormat="1" hidden="1">
      <c r="A995" s="174"/>
      <c r="B995" s="156" t="s">
        <v>60</v>
      </c>
      <c r="C995" s="100"/>
      <c r="D995" s="100"/>
      <c r="E995" s="100"/>
      <c r="F995" s="250">
        <f>F994/10</f>
        <v>275.65500000000003</v>
      </c>
      <c r="G995" s="100"/>
      <c r="H995" s="100"/>
      <c r="L995" s="50"/>
    </row>
    <row r="996" spans="1:12" s="20" customFormat="1" hidden="1">
      <c r="A996" s="174"/>
      <c r="B996" s="156" t="s">
        <v>296</v>
      </c>
      <c r="C996" s="100">
        <v>1</v>
      </c>
      <c r="D996" s="100" t="s">
        <v>161</v>
      </c>
      <c r="E996" s="102">
        <f>E964</f>
        <v>726</v>
      </c>
      <c r="F996" s="250">
        <f>C996*E996</f>
        <v>726</v>
      </c>
      <c r="G996" s="100"/>
      <c r="H996" s="100"/>
      <c r="L996" s="50"/>
    </row>
    <row r="997" spans="1:12" s="20" customFormat="1" hidden="1">
      <c r="A997" s="174"/>
      <c r="B997" s="460" t="s">
        <v>124</v>
      </c>
      <c r="C997" s="100"/>
      <c r="D997" s="100"/>
      <c r="E997" s="100"/>
      <c r="F997" s="250"/>
      <c r="G997" s="100"/>
      <c r="H997" s="100"/>
      <c r="L997" s="50"/>
    </row>
    <row r="998" spans="1:12" s="20" customFormat="1" hidden="1">
      <c r="A998" s="174"/>
      <c r="B998" s="156" t="s">
        <v>2</v>
      </c>
      <c r="C998" s="100">
        <v>180</v>
      </c>
      <c r="D998" s="100" t="s">
        <v>88</v>
      </c>
      <c r="E998" s="102">
        <f>E966</f>
        <v>5.615555555555555</v>
      </c>
      <c r="F998" s="250">
        <f>E998/C998</f>
        <v>3.1197530864197527E-2</v>
      </c>
      <c r="G998" s="100"/>
      <c r="H998" s="100"/>
      <c r="I998" s="50"/>
      <c r="K998" s="50"/>
      <c r="L998" s="50"/>
    </row>
    <row r="999" spans="1:12" s="20" customFormat="1" hidden="1">
      <c r="A999" s="174"/>
      <c r="B999" s="156" t="s">
        <v>151</v>
      </c>
      <c r="C999" s="100">
        <v>0.15</v>
      </c>
      <c r="D999" s="100" t="s">
        <v>123</v>
      </c>
      <c r="E999" s="102">
        <f>Lead!J20</f>
        <v>196.4</v>
      </c>
      <c r="F999" s="250">
        <f>E999*C999/10</f>
        <v>2.9460000000000002</v>
      </c>
      <c r="G999" s="100"/>
      <c r="H999" s="100"/>
      <c r="I999" s="116"/>
      <c r="K999" s="50"/>
      <c r="L999" s="50"/>
    </row>
    <row r="1000" spans="1:12" s="20" customFormat="1" hidden="1">
      <c r="A1000" s="174"/>
      <c r="B1000" s="156" t="s">
        <v>33</v>
      </c>
      <c r="C1000" s="100">
        <v>1.375</v>
      </c>
      <c r="D1000" s="100" t="s">
        <v>127</v>
      </c>
      <c r="E1000" s="102">
        <f>Lead!J29</f>
        <v>16.899999999999999</v>
      </c>
      <c r="F1000" s="250">
        <f>E1000*C1000/10</f>
        <v>2.3237499999999995</v>
      </c>
      <c r="G1000" s="100"/>
      <c r="H1000" s="100"/>
      <c r="I1000" s="116"/>
      <c r="K1000" s="50"/>
      <c r="L1000" s="50"/>
    </row>
    <row r="1001" spans="1:12" s="20" customFormat="1" hidden="1">
      <c r="A1001" s="174"/>
      <c r="B1001" s="156" t="s">
        <v>117</v>
      </c>
      <c r="C1001" s="100"/>
      <c r="D1001" s="100"/>
      <c r="E1001" s="100"/>
      <c r="F1001" s="250">
        <f>SUM(F995:F1000)</f>
        <v>1006.9559475308643</v>
      </c>
      <c r="G1001" s="100"/>
      <c r="H1001" s="100"/>
      <c r="I1001" s="116"/>
      <c r="K1001" s="50"/>
      <c r="L1001" s="50"/>
    </row>
    <row r="1002" spans="1:12" s="20" customFormat="1" hidden="1">
      <c r="A1002" s="174"/>
      <c r="B1002" s="617" t="s">
        <v>493</v>
      </c>
      <c r="C1002" s="100"/>
      <c r="D1002" s="100"/>
      <c r="E1002" s="100"/>
      <c r="F1002" s="250">
        <f>F1001*0.01</f>
        <v>10.069559475308642</v>
      </c>
      <c r="G1002" s="100"/>
      <c r="H1002" s="100"/>
      <c r="I1002" s="116"/>
      <c r="K1002" s="50"/>
      <c r="L1002" s="50"/>
    </row>
    <row r="1003" spans="1:12" s="20" customFormat="1" hidden="1">
      <c r="A1003" s="174"/>
      <c r="B1003" s="617" t="s">
        <v>117</v>
      </c>
      <c r="C1003" s="100"/>
      <c r="D1003" s="100"/>
      <c r="E1003" s="100"/>
      <c r="F1003" s="250">
        <f>SUM(F1001:F1002)</f>
        <v>1017.0255070061729</v>
      </c>
      <c r="G1003" s="100"/>
      <c r="H1003" s="100"/>
      <c r="L1003" s="50"/>
    </row>
    <row r="1004" spans="1:12" s="20" customFormat="1" hidden="1">
      <c r="A1004" s="174"/>
      <c r="B1004" s="1078"/>
      <c r="C1004" s="249"/>
      <c r="D1004" s="249"/>
      <c r="E1004" s="249" t="s">
        <v>120</v>
      </c>
      <c r="F1004" s="364">
        <f>ROUND(F1003,1)</f>
        <v>1017</v>
      </c>
      <c r="G1004" s="100"/>
      <c r="H1004" s="100"/>
      <c r="L1004" s="50"/>
    </row>
    <row r="1005" spans="1:12" s="20" customFormat="1" hidden="1">
      <c r="A1005" s="126" t="s">
        <v>38</v>
      </c>
      <c r="B1005" s="1078" t="s">
        <v>71</v>
      </c>
      <c r="C1005" s="249"/>
      <c r="D1005" s="249"/>
      <c r="E1005" s="249"/>
      <c r="F1005" s="364"/>
      <c r="G1005" s="100"/>
      <c r="H1005" s="100"/>
    </row>
    <row r="1006" spans="1:12" s="20" customFormat="1" hidden="1">
      <c r="A1006" s="174"/>
      <c r="B1006" s="339" t="s">
        <v>333</v>
      </c>
      <c r="C1006" s="102"/>
      <c r="D1006" s="102"/>
      <c r="E1006" s="102"/>
      <c r="F1006" s="102">
        <f>F1003</f>
        <v>1017.0255070061729</v>
      </c>
      <c r="G1006" s="100"/>
      <c r="H1006" s="100"/>
    </row>
    <row r="1007" spans="1:12" s="20" customFormat="1" ht="25.5" hidden="1">
      <c r="A1007" s="174"/>
      <c r="B1007" s="763" t="s">
        <v>334</v>
      </c>
      <c r="C1007" s="102"/>
      <c r="D1007" s="102"/>
      <c r="E1007" s="102">
        <f>((F991+F992)+(F991+F992)*0.15)/10</f>
        <v>171.92500000000001</v>
      </c>
      <c r="F1007" s="102">
        <f>E1007*0.05</f>
        <v>8.5962500000000013</v>
      </c>
      <c r="G1007" s="100"/>
      <c r="H1007" s="100"/>
    </row>
    <row r="1008" spans="1:12" s="20" customFormat="1" hidden="1">
      <c r="A1008" s="174"/>
      <c r="B1008" s="339" t="s">
        <v>117</v>
      </c>
      <c r="C1008" s="102"/>
      <c r="D1008" s="102"/>
      <c r="E1008" s="102"/>
      <c r="F1008" s="102">
        <f>SUM(F1006:F1007)</f>
        <v>1025.6217570061729</v>
      </c>
      <c r="G1008" s="100"/>
      <c r="H1008" s="100"/>
    </row>
    <row r="1009" spans="1:12" s="20" customFormat="1" hidden="1">
      <c r="A1009" s="174"/>
      <c r="B1009" s="1078"/>
      <c r="C1009" s="364"/>
      <c r="D1009" s="364"/>
      <c r="E1009" s="364" t="s">
        <v>120</v>
      </c>
      <c r="F1009" s="364">
        <f>ROUND(F1008,1)</f>
        <v>1025.5999999999999</v>
      </c>
      <c r="G1009" s="100"/>
      <c r="H1009" s="100"/>
    </row>
    <row r="1010" spans="1:12" s="20" customFormat="1" hidden="1">
      <c r="A1010" s="126" t="s">
        <v>39</v>
      </c>
      <c r="B1010" s="1078" t="s">
        <v>267</v>
      </c>
      <c r="C1010" s="249"/>
      <c r="D1010" s="249"/>
      <c r="E1010" s="249"/>
      <c r="F1010" s="364"/>
      <c r="G1010" s="100"/>
      <c r="H1010" s="100"/>
    </row>
    <row r="1011" spans="1:12" s="20" customFormat="1" hidden="1">
      <c r="A1011" s="174"/>
      <c r="B1011" s="339" t="s">
        <v>335</v>
      </c>
      <c r="C1011" s="102"/>
      <c r="D1011" s="102"/>
      <c r="E1011" s="102"/>
      <c r="F1011" s="102">
        <f>F1008</f>
        <v>1025.6217570061729</v>
      </c>
      <c r="G1011" s="100"/>
      <c r="H1011" s="100"/>
    </row>
    <row r="1012" spans="1:12" s="20" customFormat="1" ht="25.5" hidden="1">
      <c r="A1012" s="174"/>
      <c r="B1012" s="763" t="s">
        <v>336</v>
      </c>
      <c r="C1012" s="102"/>
      <c r="D1012" s="102"/>
      <c r="E1012" s="102">
        <f>E1007+F1007</f>
        <v>180.52125000000001</v>
      </c>
      <c r="F1012" s="102">
        <f>E1012*0.05</f>
        <v>9.0260625000000001</v>
      </c>
      <c r="G1012" s="100"/>
      <c r="H1012" s="100"/>
    </row>
    <row r="1013" spans="1:12" s="20" customFormat="1" hidden="1">
      <c r="A1013" s="174"/>
      <c r="B1013" s="339" t="s">
        <v>117</v>
      </c>
      <c r="C1013" s="102"/>
      <c r="D1013" s="102"/>
      <c r="E1013" s="102"/>
      <c r="F1013" s="102">
        <f>SUM(F1011:F1012)</f>
        <v>1034.6478195061729</v>
      </c>
      <c r="G1013" s="100"/>
      <c r="H1013" s="100"/>
    </row>
    <row r="1014" spans="1:12" s="20" customFormat="1" hidden="1">
      <c r="A1014" s="174"/>
      <c r="B1014" s="1078"/>
      <c r="C1014" s="364"/>
      <c r="D1014" s="364"/>
      <c r="E1014" s="364" t="s">
        <v>120</v>
      </c>
      <c r="F1014" s="364">
        <f>ROUND(F1013,1)</f>
        <v>1034.5999999999999</v>
      </c>
      <c r="G1014" s="100"/>
      <c r="H1014" s="100"/>
    </row>
    <row r="1015" spans="1:12" s="149" customFormat="1" hidden="1">
      <c r="A1015" s="164"/>
      <c r="B1015" s="164"/>
      <c r="C1015" s="165"/>
      <c r="D1015" s="165"/>
      <c r="E1015" s="165"/>
      <c r="F1015" s="165"/>
      <c r="G1015" s="165"/>
      <c r="H1015" s="165"/>
      <c r="I1015" s="121"/>
      <c r="J1015" s="121"/>
    </row>
    <row r="1016" spans="1:12" s="149" customFormat="1" hidden="1">
      <c r="A1016" s="164"/>
      <c r="B1016" s="164"/>
      <c r="C1016" s="165"/>
      <c r="D1016" s="165"/>
      <c r="E1016" s="165"/>
      <c r="F1016" s="165"/>
      <c r="G1016" s="165"/>
      <c r="H1016" s="165"/>
      <c r="I1016" s="121"/>
      <c r="J1016" s="121"/>
    </row>
    <row r="1017" spans="1:12" s="149" customFormat="1" hidden="1">
      <c r="A1017" s="164"/>
      <c r="B1017" s="164"/>
      <c r="C1017" s="165"/>
      <c r="D1017" s="165"/>
      <c r="E1017" s="165"/>
      <c r="F1017" s="165"/>
      <c r="G1017" s="165"/>
      <c r="H1017" s="165"/>
      <c r="I1017" s="121"/>
      <c r="J1017" s="121"/>
    </row>
    <row r="1018" spans="1:12" s="20" customFormat="1" ht="18" hidden="1" customHeight="1">
      <c r="A1018" s="126">
        <v>33</v>
      </c>
      <c r="B1018" s="1242" t="s">
        <v>1208</v>
      </c>
      <c r="C1018" s="1242"/>
      <c r="D1018" s="1242"/>
      <c r="E1018" s="1242"/>
      <c r="F1018" s="1242"/>
      <c r="G1018" s="100"/>
      <c r="H1018" s="100"/>
      <c r="L1018" s="50"/>
    </row>
    <row r="1019" spans="1:12" s="20" customFormat="1" hidden="1">
      <c r="A1019" s="174"/>
      <c r="B1019" s="414" t="s">
        <v>1085</v>
      </c>
      <c r="C1019" s="815"/>
      <c r="D1019" s="815"/>
      <c r="E1019" s="815"/>
      <c r="F1019" s="815"/>
      <c r="G1019" s="100"/>
      <c r="H1019" s="100"/>
      <c r="L1019" s="50"/>
    </row>
    <row r="1020" spans="1:12" s="20" customFormat="1" hidden="1">
      <c r="A1020" s="174"/>
      <c r="B1020" s="147" t="s">
        <v>1086</v>
      </c>
      <c r="C1020" s="816"/>
      <c r="D1020" s="817"/>
      <c r="E1020" s="818"/>
      <c r="F1020" s="818"/>
      <c r="G1020" s="100"/>
      <c r="H1020" s="100"/>
    </row>
    <row r="1021" spans="1:12" s="20" customFormat="1" hidden="1">
      <c r="A1021" s="174"/>
      <c r="B1021" s="414" t="s">
        <v>1087</v>
      </c>
      <c r="C1021" s="816"/>
      <c r="D1021" s="817"/>
      <c r="E1021" s="818"/>
      <c r="F1021" s="818"/>
      <c r="G1021" s="100"/>
      <c r="H1021" s="100"/>
      <c r="I1021" s="50"/>
      <c r="K1021" s="50"/>
      <c r="L1021" s="50"/>
    </row>
    <row r="1022" spans="1:12" s="20" customFormat="1" hidden="1">
      <c r="A1022" s="174"/>
      <c r="B1022" s="147" t="s">
        <v>1088</v>
      </c>
      <c r="C1022" s="819">
        <v>1</v>
      </c>
      <c r="D1022" s="817" t="s">
        <v>165</v>
      </c>
      <c r="E1022" s="818">
        <v>1980</v>
      </c>
      <c r="F1022" s="818">
        <f>E1022*C1022</f>
        <v>1980</v>
      </c>
      <c r="G1022" s="100"/>
      <c r="H1022" s="100"/>
      <c r="L1022" s="50"/>
    </row>
    <row r="1023" spans="1:12" s="20" customFormat="1" hidden="1">
      <c r="A1023" s="174"/>
      <c r="B1023" s="147" t="s">
        <v>104</v>
      </c>
      <c r="C1023" s="819">
        <v>1.2999999999999999E-2</v>
      </c>
      <c r="D1023" s="817" t="s">
        <v>297</v>
      </c>
      <c r="E1023" s="818">
        <f>Lead!E20</f>
        <v>55</v>
      </c>
      <c r="F1023" s="818">
        <f>C1023*E1023</f>
        <v>0.71499999999999997</v>
      </c>
      <c r="G1023" s="100"/>
      <c r="H1023" s="100"/>
      <c r="L1023" s="50"/>
    </row>
    <row r="1024" spans="1:12" s="20" customFormat="1" hidden="1">
      <c r="A1024" s="174"/>
      <c r="B1024" s="147" t="s">
        <v>1089</v>
      </c>
      <c r="C1024" s="820">
        <v>0.1857</v>
      </c>
      <c r="D1024" s="817" t="s">
        <v>1090</v>
      </c>
      <c r="E1024" s="818">
        <f>Lead!E29</f>
        <v>650</v>
      </c>
      <c r="F1024" s="818">
        <f>C1024*E1024</f>
        <v>120.705</v>
      </c>
      <c r="G1024" s="100"/>
      <c r="H1024" s="100"/>
      <c r="L1024" s="50"/>
    </row>
    <row r="1025" spans="1:12" s="20" customFormat="1" hidden="1">
      <c r="A1025" s="174"/>
      <c r="B1025" s="147" t="s">
        <v>1209</v>
      </c>
      <c r="C1025" s="819">
        <v>8.7999999999999995E-2</v>
      </c>
      <c r="D1025" s="817" t="s">
        <v>1090</v>
      </c>
      <c r="E1025" s="818">
        <f>E1024</f>
        <v>650</v>
      </c>
      <c r="F1025" s="818">
        <f>C1025*E1025</f>
        <v>57.199999999999996</v>
      </c>
      <c r="G1025" s="100"/>
      <c r="H1025" s="100"/>
      <c r="L1025" s="50"/>
    </row>
    <row r="1026" spans="1:12" s="20" customFormat="1" hidden="1">
      <c r="A1026" s="174"/>
      <c r="B1026" s="147"/>
      <c r="C1026" s="819"/>
      <c r="D1026" s="817"/>
      <c r="E1026" s="818" t="s">
        <v>117</v>
      </c>
      <c r="F1026" s="818">
        <f>SUM(F1022:F1025)</f>
        <v>2158.62</v>
      </c>
      <c r="G1026" s="100"/>
      <c r="H1026" s="100"/>
      <c r="L1026" s="50"/>
    </row>
    <row r="1027" spans="1:12" s="20" customFormat="1" hidden="1">
      <c r="A1027" s="174"/>
      <c r="B1027" s="414" t="s">
        <v>1092</v>
      </c>
      <c r="C1027" s="819"/>
      <c r="D1027" s="817"/>
      <c r="E1027" s="818"/>
      <c r="F1027" s="818"/>
      <c r="G1027" s="100"/>
      <c r="H1027" s="100"/>
    </row>
    <row r="1028" spans="1:12" s="20" customFormat="1" hidden="1">
      <c r="A1028" s="174"/>
      <c r="B1028" s="147" t="s">
        <v>1093</v>
      </c>
      <c r="C1028" s="819">
        <v>0.216</v>
      </c>
      <c r="D1028" s="817" t="s">
        <v>1094</v>
      </c>
      <c r="E1028" s="818">
        <f>Lead!E64</f>
        <v>260</v>
      </c>
      <c r="F1028" s="818">
        <f>C1028*E1028</f>
        <v>56.16</v>
      </c>
      <c r="G1028" s="100"/>
      <c r="H1028" s="100"/>
    </row>
    <row r="1029" spans="1:12" s="20" customFormat="1" hidden="1">
      <c r="A1029" s="174"/>
      <c r="B1029" s="147" t="s">
        <v>1095</v>
      </c>
      <c r="C1029" s="819">
        <v>0.55000000000000004</v>
      </c>
      <c r="D1029" s="817" t="s">
        <v>1094</v>
      </c>
      <c r="E1029" s="818">
        <f>Lead!E54</f>
        <v>220</v>
      </c>
      <c r="F1029" s="818">
        <f>C1029*E1029</f>
        <v>121.00000000000001</v>
      </c>
      <c r="G1029" s="100"/>
      <c r="H1029" s="100"/>
    </row>
    <row r="1030" spans="1:12" s="20" customFormat="1" hidden="1">
      <c r="A1030" s="174"/>
      <c r="B1030" s="147" t="s">
        <v>1096</v>
      </c>
      <c r="C1030" s="819">
        <v>0.216</v>
      </c>
      <c r="D1030" s="817" t="s">
        <v>1094</v>
      </c>
      <c r="E1030" s="818">
        <f>Lead!E47</f>
        <v>200</v>
      </c>
      <c r="F1030" s="818">
        <f>C1030*E1030</f>
        <v>43.2</v>
      </c>
      <c r="G1030" s="100"/>
      <c r="H1030" s="100"/>
    </row>
    <row r="1031" spans="1:12" s="20" customFormat="1" hidden="1">
      <c r="A1031" s="174"/>
      <c r="B1031" s="147"/>
      <c r="C1031" s="819"/>
      <c r="D1031" s="817"/>
      <c r="E1031" s="818" t="s">
        <v>117</v>
      </c>
      <c r="F1031" s="818">
        <f>SUM(F1028:F1030)</f>
        <v>220.36</v>
      </c>
      <c r="G1031" s="100"/>
      <c r="H1031" s="100"/>
    </row>
    <row r="1032" spans="1:12" s="20" customFormat="1" hidden="1">
      <c r="A1032" s="174"/>
      <c r="B1032" s="147" t="s">
        <v>1097</v>
      </c>
      <c r="C1032" s="816"/>
      <c r="D1032" s="817"/>
      <c r="E1032" s="818"/>
      <c r="F1032" s="818">
        <f>SUM(F1026+F1031)*0.075</f>
        <v>178.42349999999999</v>
      </c>
      <c r="G1032" s="100"/>
      <c r="H1032" s="100"/>
    </row>
    <row r="1033" spans="1:12" s="20" customFormat="1" ht="20.25" hidden="1" customHeight="1">
      <c r="A1033" s="174"/>
      <c r="B1033" s="147" t="s">
        <v>1098</v>
      </c>
      <c r="C1033" s="816"/>
      <c r="D1033" s="817"/>
      <c r="E1033" s="818"/>
      <c r="F1033" s="818">
        <f>SUM(F1026+F1031)*0.075</f>
        <v>178.42349999999999</v>
      </c>
      <c r="G1033" s="100"/>
      <c r="H1033" s="100"/>
    </row>
    <row r="1034" spans="1:12" s="20" customFormat="1" hidden="1">
      <c r="A1034" s="174"/>
      <c r="B1034" s="147"/>
      <c r="C1034" s="819"/>
      <c r="D1034" s="817"/>
      <c r="E1034" s="822" t="s">
        <v>117</v>
      </c>
      <c r="F1034" s="822">
        <f>F1026+F1031+F1032+F1033</f>
        <v>2735.8269999999998</v>
      </c>
      <c r="G1034" s="100"/>
      <c r="H1034" s="100"/>
    </row>
    <row r="1035" spans="1:12" s="20" customFormat="1" hidden="1">
      <c r="A1035" s="174"/>
      <c r="B1035" s="414" t="s">
        <v>1099</v>
      </c>
      <c r="C1035" s="819"/>
      <c r="D1035" s="817"/>
      <c r="E1035" s="818"/>
      <c r="F1035" s="818"/>
      <c r="G1035" s="100"/>
      <c r="H1035" s="100"/>
    </row>
    <row r="1036" spans="1:12" s="20" customFormat="1" hidden="1">
      <c r="A1036" s="174"/>
      <c r="B1036" s="147" t="s">
        <v>1100</v>
      </c>
      <c r="C1036" s="819">
        <v>1</v>
      </c>
      <c r="D1036" s="817" t="s">
        <v>165</v>
      </c>
      <c r="E1036" s="818">
        <f>1010.8/180</f>
        <v>5.615555555555555</v>
      </c>
      <c r="F1036" s="818">
        <f>E1036*C1036</f>
        <v>5.615555555555555</v>
      </c>
      <c r="G1036" s="100"/>
      <c r="H1036" s="100"/>
    </row>
    <row r="1037" spans="1:12" s="20" customFormat="1" hidden="1">
      <c r="A1037" s="174"/>
      <c r="B1037" s="147" t="s">
        <v>104</v>
      </c>
      <c r="C1037" s="819">
        <v>1.2999999999999999E-2</v>
      </c>
      <c r="D1037" s="817" t="s">
        <v>297</v>
      </c>
      <c r="E1037" s="818">
        <f>Lead!J20</f>
        <v>196.4</v>
      </c>
      <c r="F1037" s="818">
        <f>C1037*E1037</f>
        <v>2.5531999999999999</v>
      </c>
      <c r="G1037" s="100"/>
      <c r="H1037" s="100"/>
    </row>
    <row r="1038" spans="1:12" s="20" customFormat="1" hidden="1">
      <c r="A1038" s="174"/>
      <c r="B1038" s="147" t="s">
        <v>1089</v>
      </c>
      <c r="C1038" s="819">
        <v>0.1857</v>
      </c>
      <c r="D1038" s="817" t="s">
        <v>1090</v>
      </c>
      <c r="E1038" s="818">
        <f>Lead!J29</f>
        <v>16.899999999999999</v>
      </c>
      <c r="F1038" s="818">
        <f>C1038*E1038</f>
        <v>3.1383299999999998</v>
      </c>
      <c r="G1038" s="100"/>
      <c r="H1038" s="100"/>
    </row>
    <row r="1039" spans="1:12" s="20" customFormat="1" hidden="1">
      <c r="A1039" s="174"/>
      <c r="B1039" s="147" t="s">
        <v>1209</v>
      </c>
      <c r="C1039" s="819">
        <v>8.7999999999999995E-2</v>
      </c>
      <c r="D1039" s="817" t="s">
        <v>1101</v>
      </c>
      <c r="E1039" s="818">
        <f>E1038</f>
        <v>16.899999999999999</v>
      </c>
      <c r="F1039" s="818">
        <f>C1039*E1039</f>
        <v>1.4871999999999999</v>
      </c>
      <c r="G1039" s="100"/>
      <c r="H1039" s="100"/>
    </row>
    <row r="1040" spans="1:12" s="20" customFormat="1" hidden="1">
      <c r="A1040" s="174"/>
      <c r="B1040" s="147"/>
      <c r="C1040" s="816"/>
      <c r="D1040" s="817"/>
      <c r="E1040" s="818" t="s">
        <v>117</v>
      </c>
      <c r="F1040" s="818">
        <f>SUM(F1036:F1039)</f>
        <v>12.794285555555554</v>
      </c>
      <c r="G1040" s="100"/>
      <c r="H1040" s="100"/>
    </row>
    <row r="1041" spans="1:8" s="20" customFormat="1" hidden="1">
      <c r="A1041" s="174"/>
      <c r="B1041" s="147"/>
      <c r="C1041" s="816"/>
      <c r="D1041" s="817"/>
      <c r="E1041" s="818" t="s">
        <v>117</v>
      </c>
      <c r="F1041" s="818">
        <f>F1040+F1034</f>
        <v>2748.6212855555555</v>
      </c>
      <c r="G1041" s="100"/>
      <c r="H1041" s="100"/>
    </row>
    <row r="1042" spans="1:8" s="20" customFormat="1" hidden="1">
      <c r="A1042" s="126" t="s">
        <v>38</v>
      </c>
      <c r="B1042" s="147" t="s">
        <v>337</v>
      </c>
      <c r="C1042" s="816"/>
      <c r="D1042" s="817"/>
      <c r="E1042" s="818"/>
      <c r="F1042" s="818">
        <f>F1041</f>
        <v>2748.6212855555555</v>
      </c>
      <c r="G1042" s="100"/>
      <c r="H1042" s="100"/>
    </row>
    <row r="1043" spans="1:8" s="20" customFormat="1" hidden="1">
      <c r="A1043" s="174"/>
      <c r="B1043" s="147" t="s">
        <v>1180</v>
      </c>
      <c r="C1043" s="816"/>
      <c r="D1043" s="817"/>
      <c r="E1043" s="818"/>
      <c r="F1043" s="818">
        <v>8.5</v>
      </c>
      <c r="G1043" s="100"/>
      <c r="H1043" s="100"/>
    </row>
    <row r="1044" spans="1:8" s="20" customFormat="1" hidden="1">
      <c r="A1044" s="174"/>
      <c r="B1044" s="147"/>
      <c r="C1044" s="816"/>
      <c r="D1044" s="817"/>
      <c r="E1044" s="818" t="s">
        <v>1102</v>
      </c>
      <c r="F1044" s="818">
        <f>SUM(F1042:F1043)</f>
        <v>2757.1212855555555</v>
      </c>
      <c r="G1044" s="100"/>
      <c r="H1044" s="100"/>
    </row>
    <row r="1045" spans="1:8" s="20" customFormat="1" hidden="1">
      <c r="A1045" s="174"/>
      <c r="B1045" s="147" t="s">
        <v>457</v>
      </c>
      <c r="C1045" s="816"/>
      <c r="D1045" s="817"/>
      <c r="E1045" s="818"/>
      <c r="F1045" s="818">
        <f>F1044*0.01</f>
        <v>27.571212855555554</v>
      </c>
      <c r="G1045" s="100"/>
      <c r="H1045" s="100"/>
    </row>
    <row r="1046" spans="1:8" s="20" customFormat="1" hidden="1">
      <c r="A1046" s="174"/>
      <c r="B1046" s="147"/>
      <c r="C1046" s="816"/>
      <c r="D1046" s="817"/>
      <c r="E1046" s="818"/>
      <c r="F1046" s="818">
        <f>F1044+F1045</f>
        <v>2784.692498411111</v>
      </c>
      <c r="G1046" s="100"/>
      <c r="H1046" s="100"/>
    </row>
    <row r="1047" spans="1:8" s="20" customFormat="1" hidden="1">
      <c r="A1047" s="126" t="s">
        <v>39</v>
      </c>
      <c r="B1047" s="147"/>
      <c r="C1047" s="816"/>
      <c r="D1047" s="817"/>
      <c r="E1047" s="818" t="s">
        <v>120</v>
      </c>
      <c r="F1047" s="822">
        <f>ROUND(F1046,1)</f>
        <v>2784.7</v>
      </c>
      <c r="G1047" s="100"/>
      <c r="H1047" s="100"/>
    </row>
    <row r="1048" spans="1:8" s="20" customFormat="1" hidden="1">
      <c r="A1048" s="174"/>
      <c r="B1048" s="414" t="s">
        <v>1183</v>
      </c>
      <c r="C1048" s="816"/>
      <c r="D1048" s="817"/>
      <c r="E1048" s="818"/>
      <c r="F1048" s="818"/>
      <c r="G1048" s="100"/>
      <c r="H1048" s="100"/>
    </row>
    <row r="1049" spans="1:8" s="20" customFormat="1" hidden="1">
      <c r="A1049" s="174"/>
      <c r="B1049" s="147" t="s">
        <v>1184</v>
      </c>
      <c r="C1049" s="816"/>
      <c r="D1049" s="817"/>
      <c r="E1049" s="818"/>
      <c r="F1049" s="818">
        <f>F1046</f>
        <v>2784.692498411111</v>
      </c>
      <c r="G1049" s="100"/>
      <c r="H1049" s="100"/>
    </row>
    <row r="1050" spans="1:8" s="20" customFormat="1" hidden="1">
      <c r="A1050" s="174"/>
      <c r="B1050" s="147" t="s">
        <v>1185</v>
      </c>
      <c r="C1050" s="816"/>
      <c r="D1050" s="817"/>
      <c r="E1050" s="818"/>
      <c r="F1050" s="818">
        <f>SUM(F1031*0.05)</f>
        <v>11.018000000000001</v>
      </c>
      <c r="G1050" s="100"/>
      <c r="H1050" s="100"/>
    </row>
    <row r="1051" spans="1:8" s="20" customFormat="1" hidden="1">
      <c r="A1051" s="174"/>
      <c r="B1051" s="147" t="s">
        <v>1097</v>
      </c>
      <c r="C1051" s="816"/>
      <c r="D1051" s="817"/>
      <c r="E1051" s="818"/>
      <c r="F1051" s="818">
        <f>F1050*0.075</f>
        <v>0.82635000000000003</v>
      </c>
      <c r="G1051" s="100"/>
      <c r="H1051" s="100"/>
    </row>
    <row r="1052" spans="1:8" s="20" customFormat="1" hidden="1">
      <c r="A1052" s="174"/>
      <c r="B1052" s="147" t="s">
        <v>1098</v>
      </c>
      <c r="C1052" s="816"/>
      <c r="D1052" s="817"/>
      <c r="E1052" s="818"/>
      <c r="F1052" s="818">
        <f>F1050*0.075</f>
        <v>0.82635000000000003</v>
      </c>
      <c r="G1052" s="100"/>
      <c r="H1052" s="100"/>
    </row>
    <row r="1053" spans="1:8" s="20" customFormat="1" hidden="1">
      <c r="A1053" s="174"/>
      <c r="B1053" s="147" t="s">
        <v>1186</v>
      </c>
      <c r="C1053" s="816"/>
      <c r="D1053" s="817"/>
      <c r="E1053" s="818"/>
      <c r="F1053" s="818">
        <f>SUM(F1050:F1052)*0.01</f>
        <v>0.12670700000000001</v>
      </c>
      <c r="G1053" s="100"/>
      <c r="H1053" s="100"/>
    </row>
    <row r="1054" spans="1:8" s="20" customFormat="1" hidden="1">
      <c r="A1054" s="174"/>
      <c r="B1054" s="147"/>
      <c r="C1054" s="816"/>
      <c r="D1054" s="817"/>
      <c r="E1054" s="818" t="s">
        <v>117</v>
      </c>
      <c r="F1054" s="818">
        <f>SUM(F1049:F1053)</f>
        <v>2797.4899054111106</v>
      </c>
      <c r="G1054" s="100"/>
      <c r="H1054" s="100"/>
    </row>
    <row r="1055" spans="1:8" s="20" customFormat="1" hidden="1">
      <c r="A1055" s="174"/>
      <c r="B1055" s="147"/>
      <c r="C1055" s="816"/>
      <c r="D1055" s="817"/>
      <c r="E1055" s="822" t="s">
        <v>120</v>
      </c>
      <c r="F1055" s="822">
        <f>ROUND(F1054,1)</f>
        <v>2797.5</v>
      </c>
      <c r="G1055" s="100"/>
      <c r="H1055" s="100"/>
    </row>
    <row r="1056" spans="1:8" s="20" customFormat="1" hidden="1">
      <c r="A1056" s="174"/>
      <c r="B1056" s="414" t="s">
        <v>1187</v>
      </c>
      <c r="C1056" s="816"/>
      <c r="D1056" s="817"/>
      <c r="E1056" s="818"/>
      <c r="F1056" s="818"/>
      <c r="G1056" s="100"/>
      <c r="H1056" s="100"/>
    </row>
    <row r="1057" spans="1:8" s="20" customFormat="1" hidden="1">
      <c r="A1057" s="174"/>
      <c r="B1057" s="147" t="s">
        <v>1184</v>
      </c>
      <c r="C1057" s="816"/>
      <c r="D1057" s="817"/>
      <c r="E1057" s="818"/>
      <c r="F1057" s="818">
        <f>F1054</f>
        <v>2797.4899054111106</v>
      </c>
      <c r="G1057" s="100"/>
      <c r="H1057" s="100"/>
    </row>
    <row r="1058" spans="1:8" s="20" customFormat="1" hidden="1">
      <c r="A1058" s="174"/>
      <c r="B1058" s="147" t="s">
        <v>1185</v>
      </c>
      <c r="C1058" s="816"/>
      <c r="D1058" s="817"/>
      <c r="E1058" s="818"/>
      <c r="F1058" s="818">
        <f>SUM(F1050*1.05)</f>
        <v>11.568900000000001</v>
      </c>
      <c r="G1058" s="100"/>
      <c r="H1058" s="100"/>
    </row>
    <row r="1059" spans="1:8" s="20" customFormat="1" hidden="1">
      <c r="A1059" s="174"/>
      <c r="B1059" s="147" t="s">
        <v>1097</v>
      </c>
      <c r="C1059" s="816"/>
      <c r="D1059" s="817"/>
      <c r="E1059" s="818"/>
      <c r="F1059" s="818">
        <f>F1058*0.075</f>
        <v>0.86766750000000004</v>
      </c>
      <c r="G1059" s="100"/>
      <c r="H1059" s="100"/>
    </row>
    <row r="1060" spans="1:8" s="20" customFormat="1" hidden="1">
      <c r="A1060" s="174"/>
      <c r="B1060" s="147" t="s">
        <v>1098</v>
      </c>
      <c r="C1060" s="816"/>
      <c r="D1060" s="817"/>
      <c r="E1060" s="818"/>
      <c r="F1060" s="818">
        <f>F1058*0.075</f>
        <v>0.86766750000000004</v>
      </c>
      <c r="G1060" s="100"/>
      <c r="H1060" s="100"/>
    </row>
    <row r="1061" spans="1:8" s="20" customFormat="1" hidden="1">
      <c r="A1061" s="174"/>
      <c r="B1061" s="147" t="s">
        <v>1186</v>
      </c>
      <c r="C1061" s="816"/>
      <c r="D1061" s="817"/>
      <c r="E1061" s="818"/>
      <c r="F1061" s="818">
        <f>SUM(F1058:F1060)*0.01</f>
        <v>0.13304235</v>
      </c>
      <c r="G1061" s="100"/>
      <c r="H1061" s="100"/>
    </row>
    <row r="1062" spans="1:8" s="20" customFormat="1" hidden="1">
      <c r="A1062" s="174"/>
      <c r="B1062" s="147"/>
      <c r="C1062" s="816"/>
      <c r="D1062" s="817"/>
      <c r="E1062" s="818" t="s">
        <v>117</v>
      </c>
      <c r="F1062" s="818">
        <f>SUM(F1057:F1061)</f>
        <v>2810.927182761111</v>
      </c>
      <c r="G1062" s="100"/>
      <c r="H1062" s="100"/>
    </row>
    <row r="1063" spans="1:8" s="20" customFormat="1" hidden="1">
      <c r="A1063" s="174"/>
      <c r="B1063" s="147"/>
      <c r="C1063" s="816"/>
      <c r="D1063" s="817"/>
      <c r="E1063" s="822" t="s">
        <v>120</v>
      </c>
      <c r="F1063" s="822">
        <f>ROUND(F1062,1)</f>
        <v>2810.9</v>
      </c>
      <c r="G1063" s="100"/>
      <c r="H1063" s="100"/>
    </row>
    <row r="1064" spans="1:8" s="20" customFormat="1" hidden="1">
      <c r="A1064" s="174"/>
      <c r="B1064" s="414" t="s">
        <v>1210</v>
      </c>
      <c r="C1064" s="816"/>
      <c r="D1064" s="817"/>
      <c r="E1064" s="818"/>
      <c r="F1064" s="818"/>
      <c r="G1064" s="100"/>
      <c r="H1064" s="100"/>
    </row>
    <row r="1065" spans="1:8" s="20" customFormat="1" hidden="1">
      <c r="A1065" s="174"/>
      <c r="B1065" s="147" t="s">
        <v>1184</v>
      </c>
      <c r="C1065" s="816"/>
      <c r="D1065" s="817"/>
      <c r="E1065" s="818"/>
      <c r="F1065" s="818">
        <f>F1062</f>
        <v>2810.927182761111</v>
      </c>
      <c r="G1065" s="100"/>
      <c r="H1065" s="100"/>
    </row>
    <row r="1066" spans="1:8" s="20" customFormat="1" hidden="1">
      <c r="A1066" s="174"/>
      <c r="B1066" s="147" t="s">
        <v>1185</v>
      </c>
      <c r="C1066" s="816"/>
      <c r="D1066" s="817"/>
      <c r="E1066" s="818"/>
      <c r="F1066" s="818">
        <f>SUM(F1058*1.05)</f>
        <v>12.147345000000001</v>
      </c>
      <c r="G1066" s="100"/>
      <c r="H1066" s="100"/>
    </row>
    <row r="1067" spans="1:8" s="20" customFormat="1" hidden="1">
      <c r="A1067" s="174"/>
      <c r="B1067" s="147" t="s">
        <v>1097</v>
      </c>
      <c r="C1067" s="816"/>
      <c r="D1067" s="817"/>
      <c r="E1067" s="818"/>
      <c r="F1067" s="818">
        <f>F1066*0.075</f>
        <v>0.91105087500000004</v>
      </c>
      <c r="G1067" s="100"/>
      <c r="H1067" s="100"/>
    </row>
    <row r="1068" spans="1:8" s="20" customFormat="1" hidden="1">
      <c r="A1068" s="174"/>
      <c r="B1068" s="147" t="s">
        <v>1098</v>
      </c>
      <c r="C1068" s="816"/>
      <c r="D1068" s="817"/>
      <c r="E1068" s="818"/>
      <c r="F1068" s="818">
        <f>F1066*0.075</f>
        <v>0.91105087500000004</v>
      </c>
      <c r="G1068" s="100"/>
      <c r="H1068" s="100"/>
    </row>
    <row r="1069" spans="1:8" s="20" customFormat="1" hidden="1">
      <c r="A1069" s="174"/>
      <c r="B1069" s="147" t="s">
        <v>1186</v>
      </c>
      <c r="C1069" s="816"/>
      <c r="D1069" s="817"/>
      <c r="E1069" s="818"/>
      <c r="F1069" s="818">
        <f>SUM(F1066:F1068)*0.01</f>
        <v>0.13969446750000003</v>
      </c>
      <c r="G1069" s="100"/>
      <c r="H1069" s="100"/>
    </row>
    <row r="1070" spans="1:8" s="20" customFormat="1" hidden="1">
      <c r="A1070" s="174"/>
      <c r="B1070" s="147"/>
      <c r="C1070" s="816"/>
      <c r="D1070" s="817"/>
      <c r="E1070" s="818" t="s">
        <v>117</v>
      </c>
      <c r="F1070" s="818">
        <f>SUM(F1065:F1069)</f>
        <v>2825.0363239786107</v>
      </c>
      <c r="G1070" s="100"/>
      <c r="H1070" s="100"/>
    </row>
    <row r="1071" spans="1:8" s="20" customFormat="1" hidden="1">
      <c r="A1071" s="174"/>
      <c r="B1071" s="147"/>
      <c r="C1071" s="816"/>
      <c r="D1071" s="817"/>
      <c r="E1071" s="822" t="s">
        <v>120</v>
      </c>
      <c r="F1071" s="822">
        <f>ROUND(F1070,1)</f>
        <v>2825</v>
      </c>
      <c r="G1071" s="100"/>
      <c r="H1071" s="100"/>
    </row>
    <row r="1072" spans="1:8" s="20" customFormat="1" hidden="1">
      <c r="A1072" s="174"/>
      <c r="B1072" s="1078"/>
      <c r="C1072" s="249"/>
      <c r="D1072" s="249"/>
      <c r="E1072" s="249"/>
      <c r="F1072" s="364"/>
      <c r="G1072" s="100"/>
      <c r="H1072" s="100"/>
    </row>
    <row r="1073" spans="1:10" s="20" customFormat="1" hidden="1">
      <c r="A1073" s="174"/>
      <c r="B1073" s="1078"/>
      <c r="C1073" s="249"/>
      <c r="D1073" s="249"/>
      <c r="E1073" s="249"/>
      <c r="F1073" s="364"/>
      <c r="G1073" s="100"/>
      <c r="H1073" s="100"/>
    </row>
    <row r="1074" spans="1:10" s="20" customFormat="1" hidden="1">
      <c r="A1074" s="174"/>
      <c r="B1074" s="1078"/>
      <c r="C1074" s="249"/>
      <c r="D1074" s="249"/>
      <c r="E1074" s="249"/>
      <c r="F1074" s="364"/>
      <c r="G1074" s="100"/>
      <c r="H1074" s="100"/>
    </row>
    <row r="1075" spans="1:10" s="20" customFormat="1" ht="12.75" hidden="1" customHeight="1">
      <c r="A1075" s="174">
        <v>33</v>
      </c>
      <c r="B1075" s="1078" t="s">
        <v>1174</v>
      </c>
      <c r="C1075" s="249"/>
      <c r="D1075" s="249"/>
      <c r="E1075" s="249"/>
      <c r="F1075" s="249"/>
      <c r="G1075" s="100"/>
      <c r="H1075" s="100"/>
    </row>
    <row r="1076" spans="1:10" s="149" customFormat="1" hidden="1">
      <c r="A1076" s="164"/>
      <c r="B1076" s="414" t="s">
        <v>1175</v>
      </c>
      <c r="C1076" s="815"/>
      <c r="D1076" s="815"/>
      <c r="E1076" s="815"/>
      <c r="F1076" s="815"/>
      <c r="G1076" s="165"/>
      <c r="H1076" s="165"/>
      <c r="I1076" s="121"/>
      <c r="J1076" s="121"/>
    </row>
    <row r="1077" spans="1:10" s="149" customFormat="1" hidden="1">
      <c r="A1077" s="164"/>
      <c r="B1077" s="147" t="s">
        <v>1176</v>
      </c>
      <c r="C1077" s="816"/>
      <c r="D1077" s="817"/>
      <c r="E1077" s="818"/>
      <c r="F1077" s="818"/>
      <c r="G1077" s="165"/>
      <c r="H1077" s="165"/>
      <c r="I1077" s="121"/>
      <c r="J1077" s="121"/>
    </row>
    <row r="1078" spans="1:10" s="149" customFormat="1" hidden="1">
      <c r="A1078" s="164"/>
      <c r="B1078" s="414" t="s">
        <v>1087</v>
      </c>
      <c r="C1078" s="816"/>
      <c r="D1078" s="817"/>
      <c r="E1078" s="818"/>
      <c r="F1078" s="818"/>
      <c r="G1078" s="165"/>
      <c r="H1078" s="165"/>
      <c r="I1078" s="121"/>
      <c r="J1078" s="121"/>
    </row>
    <row r="1079" spans="1:10" s="149" customFormat="1" hidden="1">
      <c r="A1079" s="164"/>
      <c r="B1079" s="147" t="s">
        <v>1009</v>
      </c>
      <c r="C1079" s="819">
        <v>1</v>
      </c>
      <c r="D1079" s="817" t="s">
        <v>32</v>
      </c>
      <c r="E1079" s="818">
        <v>1980</v>
      </c>
      <c r="F1079" s="818">
        <f>E1079*C1079</f>
        <v>1980</v>
      </c>
      <c r="G1079" s="165"/>
      <c r="H1079" s="165"/>
      <c r="I1079" s="121"/>
      <c r="J1079" s="121"/>
    </row>
    <row r="1080" spans="1:10" s="149" customFormat="1" hidden="1">
      <c r="A1080" s="164"/>
      <c r="B1080" s="147" t="s">
        <v>104</v>
      </c>
      <c r="C1080" s="819">
        <v>1.4999999999999999E-2</v>
      </c>
      <c r="D1080" s="817" t="s">
        <v>297</v>
      </c>
      <c r="E1080" s="818">
        <f>Lead!E20</f>
        <v>55</v>
      </c>
      <c r="F1080" s="818">
        <f>C1080*E1080</f>
        <v>0.82499999999999996</v>
      </c>
      <c r="G1080" s="165"/>
      <c r="H1080" s="165"/>
      <c r="I1080" s="121"/>
      <c r="J1080" s="121"/>
    </row>
    <row r="1081" spans="1:10" s="149" customFormat="1" hidden="1">
      <c r="A1081" s="164"/>
      <c r="B1081" s="147" t="s">
        <v>1089</v>
      </c>
      <c r="C1081" s="819">
        <v>7.1499999999999994E-2</v>
      </c>
      <c r="D1081" s="817" t="s">
        <v>1090</v>
      </c>
      <c r="E1081" s="818">
        <f>Lead!E29</f>
        <v>650</v>
      </c>
      <c r="F1081" s="818">
        <f>C1081*E1081</f>
        <v>46.474999999999994</v>
      </c>
      <c r="G1081" s="165"/>
      <c r="H1081" s="165"/>
      <c r="I1081" s="121"/>
      <c r="J1081" s="121"/>
    </row>
    <row r="1082" spans="1:10" s="149" customFormat="1" hidden="1">
      <c r="A1082" s="164"/>
      <c r="B1082" s="147" t="s">
        <v>1177</v>
      </c>
      <c r="C1082" s="819">
        <v>6.6000000000000003E-2</v>
      </c>
      <c r="D1082" s="817" t="s">
        <v>1090</v>
      </c>
      <c r="E1082" s="818">
        <f>E1081</f>
        <v>650</v>
      </c>
      <c r="F1082" s="818">
        <f>C1082*E1082</f>
        <v>42.9</v>
      </c>
      <c r="G1082" s="165"/>
      <c r="H1082" s="165"/>
      <c r="I1082" s="121"/>
      <c r="J1082" s="121"/>
    </row>
    <row r="1083" spans="1:10" s="149" customFormat="1" hidden="1">
      <c r="A1083" s="164"/>
      <c r="B1083" s="147"/>
      <c r="C1083" s="819"/>
      <c r="D1083" s="817"/>
      <c r="E1083" s="818"/>
      <c r="F1083" s="822">
        <f>SUM(F1079:F1082)</f>
        <v>2070.1999999999998</v>
      </c>
      <c r="G1083" s="165"/>
      <c r="H1083" s="165"/>
      <c r="I1083" s="121"/>
      <c r="J1083" s="121"/>
    </row>
    <row r="1084" spans="1:10" s="149" customFormat="1" hidden="1">
      <c r="A1084" s="164"/>
      <c r="B1084" s="414" t="s">
        <v>1092</v>
      </c>
      <c r="C1084" s="819"/>
      <c r="D1084" s="817"/>
      <c r="E1084" s="818"/>
      <c r="F1084" s="818"/>
      <c r="G1084" s="165"/>
      <c r="H1084" s="165"/>
      <c r="I1084" s="121"/>
      <c r="J1084" s="121"/>
    </row>
    <row r="1085" spans="1:10" s="149" customFormat="1" hidden="1">
      <c r="A1085" s="164"/>
      <c r="B1085" s="147" t="s">
        <v>1093</v>
      </c>
      <c r="C1085" s="819">
        <v>0.32500000000000001</v>
      </c>
      <c r="D1085" s="817" t="s">
        <v>1094</v>
      </c>
      <c r="E1085" s="818">
        <f>Lead!E64</f>
        <v>260</v>
      </c>
      <c r="F1085" s="818">
        <f>C1085*E1085</f>
        <v>84.5</v>
      </c>
      <c r="G1085" s="165"/>
      <c r="H1085" s="165"/>
      <c r="I1085" s="121"/>
      <c r="J1085" s="121"/>
    </row>
    <row r="1086" spans="1:10" s="149" customFormat="1" hidden="1">
      <c r="A1086" s="164"/>
      <c r="B1086" s="147" t="s">
        <v>1095</v>
      </c>
      <c r="C1086" s="819">
        <v>0.76</v>
      </c>
      <c r="D1086" s="817" t="s">
        <v>1094</v>
      </c>
      <c r="E1086" s="818">
        <f>Lead!E54</f>
        <v>220</v>
      </c>
      <c r="F1086" s="818">
        <f>C1086*E1086</f>
        <v>167.2</v>
      </c>
      <c r="G1086" s="165"/>
      <c r="H1086" s="165"/>
      <c r="I1086" s="121"/>
      <c r="J1086" s="121"/>
    </row>
    <row r="1087" spans="1:10" s="149" customFormat="1" hidden="1">
      <c r="A1087" s="164"/>
      <c r="B1087" s="147" t="s">
        <v>1096</v>
      </c>
      <c r="C1087" s="819">
        <v>0.32500000000000001</v>
      </c>
      <c r="D1087" s="817" t="s">
        <v>1094</v>
      </c>
      <c r="E1087" s="818">
        <f>Lead!E47</f>
        <v>200</v>
      </c>
      <c r="F1087" s="818">
        <f>C1087*E1087</f>
        <v>65</v>
      </c>
      <c r="G1087" s="165"/>
      <c r="H1087" s="165"/>
      <c r="I1087" s="121"/>
      <c r="J1087" s="121"/>
    </row>
    <row r="1088" spans="1:10" s="149" customFormat="1" hidden="1">
      <c r="A1088" s="164"/>
      <c r="B1088" s="147"/>
      <c r="C1088" s="819"/>
      <c r="D1088" s="817"/>
      <c r="E1088" s="818" t="s">
        <v>117</v>
      </c>
      <c r="F1088" s="822">
        <f>SUM(F1085:F1087)</f>
        <v>316.7</v>
      </c>
      <c r="G1088" s="165"/>
      <c r="H1088" s="165"/>
      <c r="I1088" s="121"/>
      <c r="J1088" s="121"/>
    </row>
    <row r="1089" spans="1:10" s="149" customFormat="1" hidden="1">
      <c r="A1089" s="164"/>
      <c r="B1089" s="147" t="s">
        <v>1097</v>
      </c>
      <c r="C1089" s="819"/>
      <c r="D1089" s="817"/>
      <c r="E1089" s="818"/>
      <c r="F1089" s="818">
        <f>SUM(F1083+F1088)*0.075</f>
        <v>179.01749999999996</v>
      </c>
      <c r="G1089" s="165"/>
      <c r="H1089" s="165"/>
      <c r="I1089" s="121"/>
      <c r="J1089" s="121"/>
    </row>
    <row r="1090" spans="1:10" s="149" customFormat="1" hidden="1">
      <c r="A1090" s="164"/>
      <c r="B1090" s="147" t="s">
        <v>1178</v>
      </c>
      <c r="C1090" s="819"/>
      <c r="D1090" s="817"/>
      <c r="E1090" s="818"/>
      <c r="F1090" s="818">
        <f>SUM(F1083+F1088)*0.075</f>
        <v>179.01749999999996</v>
      </c>
      <c r="G1090" s="165"/>
      <c r="H1090" s="165"/>
      <c r="I1090" s="121"/>
      <c r="J1090" s="121"/>
    </row>
    <row r="1091" spans="1:10" s="149" customFormat="1" hidden="1">
      <c r="A1091" s="164"/>
      <c r="B1091" s="147"/>
      <c r="C1091" s="819"/>
      <c r="D1091" s="817"/>
      <c r="E1091" s="818" t="s">
        <v>1179</v>
      </c>
      <c r="F1091" s="818">
        <f>SUM(F1088:F1090)</f>
        <v>674.7349999999999</v>
      </c>
      <c r="G1091" s="165"/>
      <c r="H1091" s="165"/>
      <c r="I1091" s="121"/>
      <c r="J1091" s="121"/>
    </row>
    <row r="1092" spans="1:10" s="149" customFormat="1" hidden="1">
      <c r="A1092" s="164"/>
      <c r="B1092" s="147"/>
      <c r="C1092" s="819"/>
      <c r="D1092" s="817"/>
      <c r="E1092" s="818"/>
      <c r="F1092" s="818"/>
      <c r="G1092" s="165"/>
      <c r="H1092" s="165"/>
      <c r="I1092" s="121"/>
      <c r="J1092" s="121"/>
    </row>
    <row r="1093" spans="1:10" s="149" customFormat="1" hidden="1">
      <c r="A1093" s="164"/>
      <c r="B1093" s="414" t="s">
        <v>441</v>
      </c>
      <c r="C1093" s="819"/>
      <c r="D1093" s="817"/>
      <c r="E1093" s="818"/>
      <c r="F1093" s="818"/>
      <c r="G1093" s="165"/>
      <c r="H1093" s="165"/>
      <c r="I1093" s="121"/>
      <c r="J1093" s="121"/>
    </row>
    <row r="1094" spans="1:10" s="149" customFormat="1" hidden="1">
      <c r="A1094" s="164"/>
      <c r="B1094" s="147" t="s">
        <v>1009</v>
      </c>
      <c r="C1094" s="819">
        <v>1</v>
      </c>
      <c r="D1094" s="817" t="s">
        <v>32</v>
      </c>
      <c r="E1094" s="818">
        <f>1010.8/180</f>
        <v>5.615555555555555</v>
      </c>
      <c r="F1094" s="818">
        <f>E1094*C1094</f>
        <v>5.615555555555555</v>
      </c>
      <c r="G1094" s="165"/>
      <c r="H1094" s="165"/>
      <c r="I1094" s="121"/>
      <c r="J1094" s="121"/>
    </row>
    <row r="1095" spans="1:10" s="149" customFormat="1" hidden="1">
      <c r="A1095" s="164"/>
      <c r="B1095" s="147" t="s">
        <v>104</v>
      </c>
      <c r="C1095" s="819">
        <f>C1080</f>
        <v>1.4999999999999999E-2</v>
      </c>
      <c r="D1095" s="817" t="s">
        <v>297</v>
      </c>
      <c r="E1095" s="818">
        <f>Lead!J20</f>
        <v>196.4</v>
      </c>
      <c r="F1095" s="818">
        <f>C1095*E1095</f>
        <v>2.9460000000000002</v>
      </c>
      <c r="G1095" s="165"/>
      <c r="H1095" s="165"/>
      <c r="I1095" s="121"/>
      <c r="J1095" s="121"/>
    </row>
    <row r="1096" spans="1:10" s="149" customFormat="1" hidden="1">
      <c r="A1096" s="164"/>
      <c r="B1096" s="147" t="s">
        <v>1089</v>
      </c>
      <c r="C1096" s="819">
        <v>7.1499999999999994E-2</v>
      </c>
      <c r="D1096" s="817" t="s">
        <v>1090</v>
      </c>
      <c r="E1096" s="818">
        <f>Lead!J29</f>
        <v>16.899999999999999</v>
      </c>
      <c r="F1096" s="818">
        <f>C1096*E1096</f>
        <v>1.2083499999999998</v>
      </c>
      <c r="G1096" s="165"/>
      <c r="H1096" s="165"/>
      <c r="I1096" s="121"/>
      <c r="J1096" s="121"/>
    </row>
    <row r="1097" spans="1:10" s="149" customFormat="1" hidden="1">
      <c r="A1097" s="164"/>
      <c r="B1097" s="147" t="s">
        <v>1177</v>
      </c>
      <c r="C1097" s="819">
        <v>6.6000000000000003E-2</v>
      </c>
      <c r="D1097" s="817" t="s">
        <v>1101</v>
      </c>
      <c r="E1097" s="818">
        <f>E1096</f>
        <v>16.899999999999999</v>
      </c>
      <c r="F1097" s="818">
        <f>C1097*E1097</f>
        <v>1.1153999999999999</v>
      </c>
      <c r="G1097" s="165"/>
      <c r="H1097" s="165"/>
      <c r="I1097" s="121"/>
      <c r="J1097" s="121"/>
    </row>
    <row r="1098" spans="1:10" s="149" customFormat="1" hidden="1">
      <c r="A1098" s="164"/>
      <c r="B1098" s="147"/>
      <c r="C1098" s="816"/>
      <c r="D1098" s="817"/>
      <c r="E1098" s="822" t="s">
        <v>1179</v>
      </c>
      <c r="F1098" s="818">
        <f>SUM(F1094:F1097)</f>
        <v>10.885305555555554</v>
      </c>
      <c r="G1098" s="165"/>
      <c r="H1098" s="165"/>
      <c r="I1098" s="121"/>
      <c r="J1098" s="121"/>
    </row>
    <row r="1099" spans="1:10" s="149" customFormat="1" hidden="1">
      <c r="A1099" s="164"/>
      <c r="B1099" s="147" t="s">
        <v>337</v>
      </c>
      <c r="C1099" s="816"/>
      <c r="D1099" s="817"/>
      <c r="E1099" s="818" t="s">
        <v>117</v>
      </c>
      <c r="F1099" s="818">
        <f>F1083+F1091+F1098</f>
        <v>2755.820305555555</v>
      </c>
      <c r="G1099" s="165"/>
      <c r="H1099" s="165"/>
      <c r="I1099" s="121"/>
      <c r="J1099" s="121"/>
    </row>
    <row r="1100" spans="1:10" s="149" customFormat="1" hidden="1">
      <c r="A1100" s="164"/>
      <c r="B1100" s="147" t="s">
        <v>1180</v>
      </c>
      <c r="C1100" s="816"/>
      <c r="D1100" s="817"/>
      <c r="E1100" s="818"/>
      <c r="F1100" s="818">
        <v>8.5</v>
      </c>
      <c r="G1100" s="165"/>
      <c r="H1100" s="165"/>
      <c r="I1100" s="121"/>
      <c r="J1100" s="121"/>
    </row>
    <row r="1101" spans="1:10" s="149" customFormat="1" hidden="1">
      <c r="A1101" s="164"/>
      <c r="B1101" s="147"/>
      <c r="C1101" s="816"/>
      <c r="D1101" s="817"/>
      <c r="E1101" s="818" t="s">
        <v>1181</v>
      </c>
      <c r="F1101" s="818">
        <f>SUM(F1099:F1100)</f>
        <v>2764.320305555555</v>
      </c>
      <c r="G1101" s="165"/>
      <c r="H1101" s="165"/>
      <c r="I1101" s="121"/>
      <c r="J1101" s="121"/>
    </row>
    <row r="1102" spans="1:10" s="149" customFormat="1" hidden="1">
      <c r="A1102" s="164"/>
      <c r="B1102" s="147" t="s">
        <v>1182</v>
      </c>
      <c r="C1102" s="816"/>
      <c r="D1102" s="817"/>
      <c r="E1102" s="818" t="s">
        <v>117</v>
      </c>
      <c r="F1102" s="818">
        <f>F1101</f>
        <v>2764.320305555555</v>
      </c>
      <c r="G1102" s="165"/>
      <c r="H1102" s="165"/>
      <c r="I1102" s="121"/>
      <c r="J1102" s="121"/>
    </row>
    <row r="1103" spans="1:10" s="149" customFormat="1" hidden="1">
      <c r="A1103" s="164"/>
      <c r="B1103" s="147" t="s">
        <v>457</v>
      </c>
      <c r="C1103" s="816"/>
      <c r="D1103" s="817"/>
      <c r="E1103" s="818"/>
      <c r="F1103" s="818">
        <f>F1102*0.01</f>
        <v>27.643203055555549</v>
      </c>
      <c r="G1103" s="165"/>
      <c r="H1103" s="165"/>
      <c r="I1103" s="121"/>
      <c r="J1103" s="121"/>
    </row>
    <row r="1104" spans="1:10" s="149" customFormat="1" hidden="1">
      <c r="A1104" s="164"/>
      <c r="B1104" s="147"/>
      <c r="C1104" s="816"/>
      <c r="D1104" s="817"/>
      <c r="E1104" s="822" t="s">
        <v>458</v>
      </c>
      <c r="F1104" s="818">
        <f>SUM(F1102:F1103)</f>
        <v>2791.9635086111107</v>
      </c>
      <c r="G1104" s="165"/>
      <c r="H1104" s="165"/>
      <c r="I1104" s="121"/>
      <c r="J1104" s="121"/>
    </row>
    <row r="1105" spans="1:10" s="149" customFormat="1" hidden="1">
      <c r="A1105" s="164"/>
      <c r="B1105" s="147"/>
      <c r="C1105" s="816"/>
      <c r="D1105" s="817"/>
      <c r="E1105" s="822" t="s">
        <v>120</v>
      </c>
      <c r="F1105" s="822">
        <f>ROUND(F1104,1)</f>
        <v>2792</v>
      </c>
      <c r="G1105" s="165"/>
      <c r="H1105" s="165"/>
      <c r="I1105" s="121"/>
      <c r="J1105" s="121"/>
    </row>
    <row r="1106" spans="1:10" s="149" customFormat="1" hidden="1">
      <c r="A1106" s="164"/>
      <c r="B1106" s="147"/>
      <c r="C1106" s="816"/>
      <c r="D1106" s="817"/>
      <c r="E1106" s="818"/>
      <c r="F1106" s="818"/>
      <c r="G1106" s="165"/>
      <c r="H1106" s="165"/>
      <c r="I1106" s="121"/>
      <c r="J1106" s="121"/>
    </row>
    <row r="1107" spans="1:10" s="149" customFormat="1" hidden="1">
      <c r="A1107" s="164"/>
      <c r="B1107" s="414" t="s">
        <v>1183</v>
      </c>
      <c r="C1107" s="816"/>
      <c r="D1107" s="817"/>
      <c r="E1107" s="818"/>
      <c r="F1107" s="818"/>
      <c r="G1107" s="165"/>
      <c r="H1107" s="165"/>
      <c r="I1107" s="121"/>
      <c r="J1107" s="121"/>
    </row>
    <row r="1108" spans="1:10" s="149" customFormat="1" hidden="1">
      <c r="A1108" s="164"/>
      <c r="B1108" s="147" t="s">
        <v>1184</v>
      </c>
      <c r="C1108" s="816"/>
      <c r="D1108" s="817"/>
      <c r="E1108" s="818"/>
      <c r="F1108" s="818">
        <f>F1104</f>
        <v>2791.9635086111107</v>
      </c>
      <c r="G1108" s="165"/>
      <c r="H1108" s="165"/>
      <c r="I1108" s="121"/>
      <c r="J1108" s="121"/>
    </row>
    <row r="1109" spans="1:10" s="149" customFormat="1" hidden="1">
      <c r="A1109" s="164"/>
      <c r="B1109" s="147" t="s">
        <v>1185</v>
      </c>
      <c r="C1109" s="816"/>
      <c r="D1109" s="817"/>
      <c r="E1109" s="818"/>
      <c r="F1109" s="818">
        <f>SUM(F1088*0.05)</f>
        <v>15.835000000000001</v>
      </c>
      <c r="G1109" s="165"/>
      <c r="H1109" s="165"/>
      <c r="I1109" s="121"/>
      <c r="J1109" s="121"/>
    </row>
    <row r="1110" spans="1:10" s="149" customFormat="1" hidden="1">
      <c r="A1110" s="164"/>
      <c r="B1110" s="147" t="s">
        <v>1097</v>
      </c>
      <c r="C1110" s="816"/>
      <c r="D1110" s="817"/>
      <c r="E1110" s="818"/>
      <c r="F1110" s="818">
        <f>F1109*0.075</f>
        <v>1.1876249999999999</v>
      </c>
      <c r="G1110" s="165"/>
      <c r="H1110" s="165"/>
      <c r="I1110" s="121"/>
      <c r="J1110" s="121"/>
    </row>
    <row r="1111" spans="1:10" s="149" customFormat="1" hidden="1">
      <c r="A1111" s="164"/>
      <c r="B1111" s="147" t="s">
        <v>1178</v>
      </c>
      <c r="C1111" s="816"/>
      <c r="D1111" s="817"/>
      <c r="E1111" s="818"/>
      <c r="F1111" s="818">
        <f>F1109*0.075</f>
        <v>1.1876249999999999</v>
      </c>
      <c r="G1111" s="165"/>
      <c r="H1111" s="165"/>
      <c r="I1111" s="121"/>
      <c r="J1111" s="121"/>
    </row>
    <row r="1112" spans="1:10" s="149" customFormat="1" hidden="1">
      <c r="A1112" s="164"/>
      <c r="B1112" s="147" t="s">
        <v>1186</v>
      </c>
      <c r="C1112" s="816"/>
      <c r="D1112" s="817"/>
      <c r="E1112" s="818"/>
      <c r="F1112" s="818">
        <f>SUM(F1109:F1111)*0.01</f>
        <v>0.18210250000000003</v>
      </c>
      <c r="G1112" s="165"/>
      <c r="H1112" s="165"/>
      <c r="I1112" s="121"/>
      <c r="J1112" s="121"/>
    </row>
    <row r="1113" spans="1:10" s="149" customFormat="1" hidden="1">
      <c r="A1113" s="164"/>
      <c r="B1113" s="147"/>
      <c r="C1113" s="816"/>
      <c r="D1113" s="817"/>
      <c r="E1113" s="818" t="s">
        <v>117</v>
      </c>
      <c r="F1113" s="818">
        <f>SUM(F1108:F1112)</f>
        <v>2810.3558611111107</v>
      </c>
      <c r="G1113" s="165"/>
      <c r="H1113" s="165"/>
      <c r="I1113" s="121"/>
      <c r="J1113" s="121"/>
    </row>
    <row r="1114" spans="1:10" s="149" customFormat="1" hidden="1">
      <c r="A1114" s="164"/>
      <c r="B1114" s="147"/>
      <c r="C1114" s="816"/>
      <c r="D1114" s="817"/>
      <c r="E1114" s="822" t="s">
        <v>120</v>
      </c>
      <c r="F1114" s="822">
        <f>ROUND(F1113,1)</f>
        <v>2810.4</v>
      </c>
      <c r="G1114" s="165"/>
      <c r="H1114" s="165"/>
      <c r="I1114" s="121"/>
      <c r="J1114" s="121"/>
    </row>
    <row r="1115" spans="1:10" s="149" customFormat="1" hidden="1">
      <c r="A1115" s="164"/>
      <c r="B1115" s="414" t="s">
        <v>1187</v>
      </c>
      <c r="C1115" s="816"/>
      <c r="D1115" s="817"/>
      <c r="E1115" s="818"/>
      <c r="F1115" s="818"/>
      <c r="G1115" s="165"/>
      <c r="H1115" s="165"/>
      <c r="I1115" s="121"/>
      <c r="J1115" s="121"/>
    </row>
    <row r="1116" spans="1:10" s="149" customFormat="1" hidden="1">
      <c r="A1116" s="164"/>
      <c r="B1116" s="147" t="s">
        <v>1184</v>
      </c>
      <c r="C1116" s="816"/>
      <c r="D1116" s="817"/>
      <c r="E1116" s="818"/>
      <c r="F1116" s="818">
        <f>F1113</f>
        <v>2810.3558611111107</v>
      </c>
      <c r="G1116" s="165"/>
      <c r="H1116" s="165"/>
      <c r="I1116" s="121"/>
      <c r="J1116" s="121"/>
    </row>
    <row r="1117" spans="1:10" s="149" customFormat="1" hidden="1">
      <c r="A1117" s="164"/>
      <c r="B1117" s="147" t="s">
        <v>1185</v>
      </c>
      <c r="C1117" s="816"/>
      <c r="D1117" s="817"/>
      <c r="E1117" s="818"/>
      <c r="F1117" s="818">
        <f>SUM(F1109*1.05)</f>
        <v>16.626750000000001</v>
      </c>
      <c r="G1117" s="165"/>
      <c r="H1117" s="165"/>
      <c r="I1117" s="121"/>
      <c r="J1117" s="121"/>
    </row>
    <row r="1118" spans="1:10" s="149" customFormat="1" hidden="1">
      <c r="A1118" s="164"/>
      <c r="B1118" s="147" t="s">
        <v>1097</v>
      </c>
      <c r="C1118" s="816"/>
      <c r="D1118" s="817"/>
      <c r="E1118" s="818"/>
      <c r="F1118" s="818">
        <f>F1117*0.075</f>
        <v>1.2470062500000001</v>
      </c>
      <c r="G1118" s="165"/>
      <c r="H1118" s="165"/>
      <c r="I1118" s="121"/>
      <c r="J1118" s="121"/>
    </row>
    <row r="1119" spans="1:10" s="149" customFormat="1" hidden="1">
      <c r="A1119" s="164"/>
      <c r="B1119" s="147" t="s">
        <v>1178</v>
      </c>
      <c r="C1119" s="816"/>
      <c r="D1119" s="817"/>
      <c r="E1119" s="818"/>
      <c r="F1119" s="818">
        <f>F1117*0.075</f>
        <v>1.2470062500000001</v>
      </c>
      <c r="G1119" s="165"/>
      <c r="H1119" s="165"/>
      <c r="I1119" s="121"/>
      <c r="J1119" s="121"/>
    </row>
    <row r="1120" spans="1:10" s="149" customFormat="1" hidden="1">
      <c r="A1120" s="164"/>
      <c r="B1120" s="147" t="s">
        <v>1186</v>
      </c>
      <c r="C1120" s="816"/>
      <c r="D1120" s="817"/>
      <c r="E1120" s="818"/>
      <c r="F1120" s="818">
        <f>SUM(F1117:F1119)*0.01</f>
        <v>0.19120762499999999</v>
      </c>
      <c r="G1120" s="165"/>
      <c r="H1120" s="165"/>
      <c r="I1120" s="121"/>
      <c r="J1120" s="121"/>
    </row>
    <row r="1121" spans="1:10" s="149" customFormat="1" hidden="1">
      <c r="A1121" s="164"/>
      <c r="B1121" s="147"/>
      <c r="C1121" s="816"/>
      <c r="D1121" s="817"/>
      <c r="E1121" s="818" t="s">
        <v>117</v>
      </c>
      <c r="F1121" s="818">
        <f>SUM(F1116:F1120)</f>
        <v>2829.6678312361109</v>
      </c>
      <c r="G1121" s="165"/>
      <c r="H1121" s="165"/>
      <c r="I1121" s="121"/>
      <c r="J1121" s="121"/>
    </row>
    <row r="1122" spans="1:10" s="149" customFormat="1" hidden="1">
      <c r="A1122" s="164"/>
      <c r="B1122" s="147"/>
      <c r="C1122" s="816"/>
      <c r="D1122" s="817"/>
      <c r="E1122" s="822" t="s">
        <v>120</v>
      </c>
      <c r="F1122" s="822">
        <f>ROUND(F1121,1)</f>
        <v>2829.7</v>
      </c>
      <c r="G1122" s="165"/>
      <c r="H1122" s="165"/>
      <c r="I1122" s="121"/>
      <c r="J1122" s="121"/>
    </row>
    <row r="1123" spans="1:10" s="149" customFormat="1" hidden="1">
      <c r="A1123" s="164"/>
      <c r="B1123" s="164"/>
      <c r="C1123" s="165"/>
      <c r="D1123" s="165"/>
      <c r="E1123" s="165"/>
      <c r="F1123" s="165"/>
      <c r="G1123" s="165"/>
      <c r="H1123" s="165"/>
      <c r="I1123" s="121"/>
      <c r="J1123" s="121"/>
    </row>
    <row r="1124" spans="1:10" s="149" customFormat="1" hidden="1">
      <c r="A1124" s="164"/>
      <c r="B1124" s="164"/>
      <c r="C1124" s="165"/>
      <c r="D1124" s="165"/>
      <c r="E1124" s="165"/>
      <c r="F1124" s="165"/>
      <c r="G1124" s="165"/>
      <c r="H1124" s="165"/>
      <c r="I1124" s="121"/>
      <c r="J1124" s="121"/>
    </row>
    <row r="1125" spans="1:10" s="20" customFormat="1" ht="138" hidden="1" customHeight="1">
      <c r="A1125" s="174">
        <v>33</v>
      </c>
      <c r="B1125" s="1079" t="s">
        <v>1058</v>
      </c>
      <c r="C1125" s="364"/>
      <c r="D1125" s="100"/>
      <c r="E1125" s="250"/>
      <c r="F1125" s="344"/>
      <c r="G1125" s="100"/>
      <c r="H1125" s="100"/>
    </row>
    <row r="1126" spans="1:10" s="20" customFormat="1" hidden="1">
      <c r="A1126" s="174"/>
      <c r="B1126" s="156" t="s">
        <v>1062</v>
      </c>
      <c r="C1126" s="364"/>
      <c r="D1126" s="100"/>
      <c r="E1126" s="250"/>
      <c r="F1126" s="344"/>
      <c r="G1126" s="100"/>
      <c r="H1126" s="100"/>
    </row>
    <row r="1127" spans="1:10" s="20" customFormat="1" hidden="1">
      <c r="A1127" s="174"/>
      <c r="B1127" s="156" t="s">
        <v>28</v>
      </c>
      <c r="C1127" s="364"/>
      <c r="D1127" s="100"/>
      <c r="E1127" s="250"/>
      <c r="F1127" s="344"/>
      <c r="G1127" s="100"/>
      <c r="H1127" s="100"/>
    </row>
    <row r="1128" spans="1:10" s="20" customFormat="1" hidden="1">
      <c r="A1128" s="174"/>
      <c r="B1128" s="764" t="s">
        <v>1063</v>
      </c>
      <c r="C1128" s="102">
        <v>1.05</v>
      </c>
      <c r="D1128" s="100" t="s">
        <v>18</v>
      </c>
      <c r="E1128" s="100"/>
      <c r="F1128" s="250"/>
      <c r="G1128" s="100"/>
      <c r="H1128" s="100"/>
    </row>
    <row r="1129" spans="1:10" s="20" customFormat="1" hidden="1">
      <c r="A1129" s="174"/>
      <c r="B1129" s="427" t="s">
        <v>1064</v>
      </c>
      <c r="C1129" s="102">
        <v>2.6890000000000001</v>
      </c>
      <c r="D1129" s="100" t="s">
        <v>18</v>
      </c>
      <c r="E1129" s="250"/>
      <c r="F1129" s="250"/>
      <c r="G1129" s="100"/>
      <c r="H1129" s="100"/>
    </row>
    <row r="1130" spans="1:10" s="20" customFormat="1" hidden="1">
      <c r="A1130" s="174"/>
      <c r="B1130" s="427" t="s">
        <v>1065</v>
      </c>
      <c r="C1130" s="102">
        <v>1.4616</v>
      </c>
      <c r="D1130" s="100" t="s">
        <v>18</v>
      </c>
      <c r="E1130" s="250"/>
      <c r="F1130" s="250"/>
      <c r="G1130" s="100"/>
      <c r="H1130" s="100"/>
    </row>
    <row r="1131" spans="1:10" s="20" customFormat="1" hidden="1">
      <c r="A1131" s="174"/>
      <c r="B1131" s="427" t="s">
        <v>1066</v>
      </c>
      <c r="C1131" s="102">
        <v>0.91</v>
      </c>
      <c r="D1131" s="100" t="s">
        <v>18</v>
      </c>
      <c r="E1131" s="250"/>
      <c r="F1131" s="250"/>
      <c r="G1131" s="100"/>
      <c r="H1131" s="100"/>
    </row>
    <row r="1132" spans="1:10" s="20" customFormat="1" hidden="1">
      <c r="A1132" s="174"/>
      <c r="B1132" s="427" t="s">
        <v>1067</v>
      </c>
      <c r="C1132" s="102">
        <v>1.1739999999999999</v>
      </c>
      <c r="D1132" s="100" t="s">
        <v>18</v>
      </c>
      <c r="E1132" s="250"/>
      <c r="F1132" s="250"/>
      <c r="G1132" s="100"/>
      <c r="H1132" s="100"/>
    </row>
    <row r="1133" spans="1:10" s="20" customFormat="1" hidden="1">
      <c r="A1133" s="174"/>
      <c r="B1133" s="156"/>
      <c r="C1133" s="1080" t="s">
        <v>274</v>
      </c>
      <c r="D1133" s="100"/>
      <c r="E1133" s="250"/>
      <c r="F1133" s="250"/>
      <c r="G1133" s="100"/>
      <c r="H1133" s="100"/>
    </row>
    <row r="1134" spans="1:10" s="20" customFormat="1" hidden="1">
      <c r="A1134" s="174"/>
      <c r="B1134" s="156"/>
      <c r="C1134" s="102">
        <f>SUM(C1128:C1132)</f>
        <v>7.2845999999999993</v>
      </c>
      <c r="D1134" s="100"/>
      <c r="E1134" s="250"/>
      <c r="F1134" s="250"/>
      <c r="G1134" s="100"/>
      <c r="H1134" s="100"/>
    </row>
    <row r="1135" spans="1:10" s="20" customFormat="1" hidden="1">
      <c r="A1135" s="174"/>
      <c r="B1135" s="156" t="s">
        <v>300</v>
      </c>
      <c r="C1135" s="102">
        <f>C1134*5%</f>
        <v>0.36423</v>
      </c>
      <c r="D1135" s="100"/>
      <c r="E1135" s="250"/>
      <c r="F1135" s="250"/>
      <c r="G1135" s="100"/>
      <c r="H1135" s="100"/>
    </row>
    <row r="1136" spans="1:10" s="20" customFormat="1" hidden="1">
      <c r="A1136" s="174"/>
      <c r="B1136" s="156"/>
      <c r="C1136" s="1080" t="s">
        <v>274</v>
      </c>
      <c r="D1136" s="100"/>
      <c r="E1136" s="250"/>
      <c r="F1136" s="250"/>
      <c r="G1136" s="100"/>
      <c r="H1136" s="100"/>
    </row>
    <row r="1137" spans="1:8" s="20" customFormat="1" hidden="1">
      <c r="A1137" s="174"/>
      <c r="B1137" s="156"/>
      <c r="C1137" s="102">
        <f>C1134+C1135</f>
        <v>7.6488299999999994</v>
      </c>
      <c r="D1137" s="100" t="s">
        <v>18</v>
      </c>
      <c r="E1137" s="250">
        <v>240</v>
      </c>
      <c r="F1137" s="250">
        <f>E1137*C1137</f>
        <v>1835.7191999999998</v>
      </c>
      <c r="G1137" s="100"/>
      <c r="H1137" s="100"/>
    </row>
    <row r="1138" spans="1:8" s="20" customFormat="1" hidden="1">
      <c r="A1138" s="174"/>
      <c r="B1138" s="156" t="s">
        <v>301</v>
      </c>
      <c r="C1138" s="102">
        <v>8</v>
      </c>
      <c r="D1138" s="100" t="s">
        <v>302</v>
      </c>
      <c r="E1138" s="250">
        <v>1.5</v>
      </c>
      <c r="F1138" s="250">
        <f>E1138*C1138</f>
        <v>12</v>
      </c>
      <c r="G1138" s="100"/>
      <c r="H1138" s="100"/>
    </row>
    <row r="1139" spans="1:8" s="20" customFormat="1" hidden="1">
      <c r="A1139" s="174"/>
      <c r="B1139" s="156" t="s">
        <v>303</v>
      </c>
      <c r="C1139" s="102"/>
      <c r="D1139" s="100" t="s">
        <v>29</v>
      </c>
      <c r="E1139" s="250"/>
      <c r="F1139" s="250">
        <v>30</v>
      </c>
      <c r="G1139" s="100"/>
      <c r="H1139" s="100"/>
    </row>
    <row r="1140" spans="1:8" s="20" customFormat="1" hidden="1">
      <c r="A1140" s="174"/>
      <c r="B1140" s="156" t="s">
        <v>304</v>
      </c>
      <c r="C1140" s="102">
        <v>7.5</v>
      </c>
      <c r="D1140" s="100" t="s">
        <v>31</v>
      </c>
      <c r="E1140" s="250">
        <v>15</v>
      </c>
      <c r="F1140" s="250">
        <f t="shared" ref="F1140:F1145" si="0">E1140*C1140</f>
        <v>112.5</v>
      </c>
      <c r="G1140" s="100"/>
      <c r="H1140" s="100"/>
    </row>
    <row r="1141" spans="1:8" s="20" customFormat="1" hidden="1">
      <c r="A1141" s="174"/>
      <c r="B1141" s="764" t="s">
        <v>1068</v>
      </c>
      <c r="C1141" s="102">
        <v>7.5</v>
      </c>
      <c r="D1141" s="100" t="s">
        <v>31</v>
      </c>
      <c r="E1141" s="250">
        <v>10</v>
      </c>
      <c r="F1141" s="250">
        <f t="shared" si="0"/>
        <v>75</v>
      </c>
      <c r="G1141" s="100"/>
      <c r="H1141" s="100"/>
    </row>
    <row r="1142" spans="1:8" s="20" customFormat="1" hidden="1">
      <c r="A1142" s="174"/>
      <c r="B1142" s="764" t="s">
        <v>309</v>
      </c>
      <c r="C1142" s="102">
        <v>1.64</v>
      </c>
      <c r="D1142" s="100" t="s">
        <v>836</v>
      </c>
      <c r="E1142" s="250">
        <v>605</v>
      </c>
      <c r="F1142" s="250">
        <f t="shared" si="0"/>
        <v>992.19999999999993</v>
      </c>
      <c r="G1142" s="100"/>
      <c r="H1142" s="100"/>
    </row>
    <row r="1143" spans="1:8" s="20" customFormat="1" hidden="1">
      <c r="A1143" s="174"/>
      <c r="B1143" s="156" t="s">
        <v>305</v>
      </c>
      <c r="C1143" s="102">
        <v>8</v>
      </c>
      <c r="D1143" s="100" t="s">
        <v>302</v>
      </c>
      <c r="E1143" s="250">
        <v>25</v>
      </c>
      <c r="F1143" s="250">
        <f t="shared" si="0"/>
        <v>200</v>
      </c>
      <c r="G1143" s="100"/>
      <c r="H1143" s="100"/>
    </row>
    <row r="1144" spans="1:8" s="20" customFormat="1" hidden="1">
      <c r="A1144" s="174"/>
      <c r="B1144" s="156" t="s">
        <v>306</v>
      </c>
      <c r="C1144" s="102">
        <v>2</v>
      </c>
      <c r="D1144" s="100" t="s">
        <v>302</v>
      </c>
      <c r="E1144" s="250">
        <v>40</v>
      </c>
      <c r="F1144" s="250">
        <f t="shared" si="0"/>
        <v>80</v>
      </c>
      <c r="G1144" s="100"/>
      <c r="H1144" s="100"/>
    </row>
    <row r="1145" spans="1:8" s="20" customFormat="1" hidden="1">
      <c r="A1145" s="174"/>
      <c r="B1145" s="1081" t="s">
        <v>307</v>
      </c>
      <c r="C1145" s="102">
        <v>1</v>
      </c>
      <c r="D1145" s="100" t="s">
        <v>308</v>
      </c>
      <c r="E1145" s="250">
        <v>100</v>
      </c>
      <c r="F1145" s="250">
        <f t="shared" si="0"/>
        <v>100</v>
      </c>
      <c r="G1145" s="100"/>
      <c r="H1145" s="100"/>
    </row>
    <row r="1146" spans="1:8" s="20" customFormat="1" hidden="1">
      <c r="A1146" s="174"/>
      <c r="B1146" s="433" t="s">
        <v>111</v>
      </c>
      <c r="C1146" s="364"/>
      <c r="D1146" s="100"/>
      <c r="E1146" s="250"/>
      <c r="F1146" s="250"/>
      <c r="G1146" s="100"/>
      <c r="H1146" s="100"/>
    </row>
    <row r="1147" spans="1:8" s="20" customFormat="1" hidden="1">
      <c r="A1147" s="174"/>
      <c r="B1147" s="156" t="s">
        <v>311</v>
      </c>
      <c r="C1147" s="100">
        <v>0.5</v>
      </c>
      <c r="D1147" s="100" t="s">
        <v>302</v>
      </c>
      <c r="E1147" s="102">
        <f>Lead!E66</f>
        <v>260</v>
      </c>
      <c r="F1147" s="250">
        <f>E1147*C1147</f>
        <v>130</v>
      </c>
      <c r="G1147" s="100"/>
      <c r="H1147" s="100"/>
    </row>
    <row r="1148" spans="1:8" s="20" customFormat="1" hidden="1">
      <c r="A1148" s="174"/>
      <c r="B1148" s="156" t="s">
        <v>1069</v>
      </c>
      <c r="C1148" s="100">
        <v>0.5</v>
      </c>
      <c r="D1148" s="100" t="s">
        <v>302</v>
      </c>
      <c r="E1148" s="250">
        <f>Lead!J52</f>
        <v>220</v>
      </c>
      <c r="F1148" s="250">
        <f>E1148*C1148</f>
        <v>110</v>
      </c>
      <c r="G1148" s="100"/>
      <c r="H1148" s="100"/>
    </row>
    <row r="1149" spans="1:8" s="20" customFormat="1" hidden="1">
      <c r="A1149" s="174"/>
      <c r="B1149" s="156" t="s">
        <v>312</v>
      </c>
      <c r="C1149" s="100">
        <v>1.5</v>
      </c>
      <c r="D1149" s="100" t="s">
        <v>302</v>
      </c>
      <c r="E1149" s="102">
        <f>Lead!J52</f>
        <v>220</v>
      </c>
      <c r="F1149" s="250">
        <f>E1149*C1149</f>
        <v>330</v>
      </c>
      <c r="G1149" s="100"/>
      <c r="H1149" s="100"/>
    </row>
    <row r="1150" spans="1:8" s="20" customFormat="1" hidden="1">
      <c r="A1150" s="174"/>
      <c r="B1150" s="156" t="s">
        <v>51</v>
      </c>
      <c r="C1150" s="100">
        <v>1.5</v>
      </c>
      <c r="D1150" s="100" t="s">
        <v>302</v>
      </c>
      <c r="E1150" s="250">
        <f>Lead!E47</f>
        <v>200</v>
      </c>
      <c r="F1150" s="250">
        <f>E1150*C1150</f>
        <v>300</v>
      </c>
      <c r="G1150" s="100"/>
      <c r="H1150" s="100"/>
    </row>
    <row r="1151" spans="1:8" s="20" customFormat="1" hidden="1">
      <c r="A1151" s="174"/>
      <c r="B1151" s="763" t="s">
        <v>1061</v>
      </c>
      <c r="C1151" s="100"/>
      <c r="D1151" s="100" t="s">
        <v>116</v>
      </c>
      <c r="E1151" s="250">
        <f>SUM(F1137:F1150)</f>
        <v>4307.4191999999994</v>
      </c>
      <c r="F1151" s="250">
        <f>E1151*0.15</f>
        <v>646.1128799999999</v>
      </c>
      <c r="G1151" s="100"/>
      <c r="H1151" s="100"/>
    </row>
    <row r="1152" spans="1:8" s="20" customFormat="1" hidden="1">
      <c r="A1152" s="174"/>
      <c r="B1152" s="156" t="s">
        <v>117</v>
      </c>
      <c r="C1152" s="249"/>
      <c r="D1152" s="100"/>
      <c r="E1152" s="250"/>
      <c r="F1152" s="250">
        <f>SUM(F1137:F1151)</f>
        <v>4953.532079999999</v>
      </c>
      <c r="G1152" s="100"/>
      <c r="H1152" s="100"/>
    </row>
    <row r="1153" spans="1:10" s="20" customFormat="1" hidden="1">
      <c r="A1153" s="174"/>
      <c r="B1153" s="156" t="s">
        <v>339</v>
      </c>
      <c r="C1153" s="249"/>
      <c r="D1153" s="100"/>
      <c r="E1153" s="250"/>
      <c r="F1153" s="250">
        <f>F1152/7.28</f>
        <v>680.43023076923066</v>
      </c>
      <c r="G1153" s="100"/>
      <c r="H1153" s="100"/>
    </row>
    <row r="1154" spans="1:10" s="20" customFormat="1" hidden="1">
      <c r="A1154" s="174"/>
      <c r="B1154" s="617" t="s">
        <v>493</v>
      </c>
      <c r="C1154" s="100"/>
      <c r="D1154" s="100"/>
      <c r="E1154" s="100"/>
      <c r="F1154" s="250">
        <f>F1153*0.01</f>
        <v>6.804302307692307</v>
      </c>
      <c r="G1154" s="100"/>
      <c r="H1154" s="100"/>
    </row>
    <row r="1155" spans="1:10" s="20" customFormat="1" hidden="1">
      <c r="A1155" s="174"/>
      <c r="B1155" s="617" t="s">
        <v>117</v>
      </c>
      <c r="C1155" s="100"/>
      <c r="D1155" s="100"/>
      <c r="E1155" s="100"/>
      <c r="F1155" s="250">
        <f>SUM(F1153:F1154)</f>
        <v>687.23453307692296</v>
      </c>
      <c r="G1155" s="100"/>
      <c r="H1155" s="100"/>
    </row>
    <row r="1156" spans="1:10" s="20" customFormat="1" hidden="1">
      <c r="A1156" s="174"/>
      <c r="B1156" s="1078"/>
      <c r="C1156" s="249"/>
      <c r="D1156" s="249"/>
      <c r="E1156" s="249" t="s">
        <v>120</v>
      </c>
      <c r="F1156" s="364">
        <f>ROUND(F1155,1)</f>
        <v>687.2</v>
      </c>
      <c r="G1156" s="100"/>
      <c r="H1156" s="100"/>
    </row>
    <row r="1157" spans="1:10" s="149" customFormat="1" hidden="1">
      <c r="A1157" s="164"/>
      <c r="B1157" s="164"/>
      <c r="C1157" s="165"/>
      <c r="D1157" s="165"/>
      <c r="E1157" s="165"/>
      <c r="F1157" s="165"/>
      <c r="G1157" s="165"/>
      <c r="H1157" s="165"/>
      <c r="I1157" s="121"/>
      <c r="J1157" s="121"/>
    </row>
    <row r="1158" spans="1:10" s="149" customFormat="1" hidden="1">
      <c r="A1158" s="164"/>
      <c r="B1158" s="164"/>
      <c r="C1158" s="165"/>
      <c r="D1158" s="165"/>
      <c r="E1158" s="165"/>
      <c r="F1158" s="165"/>
      <c r="G1158" s="165"/>
      <c r="H1158" s="165"/>
      <c r="I1158" s="121"/>
      <c r="J1158" s="121"/>
    </row>
    <row r="1159" spans="1:10" s="20" customFormat="1" ht="137.25" hidden="1" customHeight="1">
      <c r="A1159" s="101">
        <v>34</v>
      </c>
      <c r="B1159" s="460" t="s">
        <v>444</v>
      </c>
      <c r="C1159" s="100"/>
      <c r="D1159" s="100"/>
      <c r="E1159" s="100"/>
      <c r="F1159" s="100"/>
      <c r="G1159" s="100"/>
      <c r="H1159" s="100"/>
    </row>
    <row r="1160" spans="1:10" s="20" customFormat="1" hidden="1">
      <c r="A1160" s="100"/>
      <c r="B1160" s="339" t="s">
        <v>1070</v>
      </c>
      <c r="C1160" s="370"/>
      <c r="D1160" s="100"/>
      <c r="E1160" s="102"/>
      <c r="F1160" s="102"/>
      <c r="G1160" s="100"/>
      <c r="H1160" s="100"/>
    </row>
    <row r="1161" spans="1:10" s="20" customFormat="1" hidden="1">
      <c r="A1161" s="100"/>
      <c r="B1161" s="1082" t="s">
        <v>445</v>
      </c>
      <c r="C1161" s="370"/>
      <c r="D1161" s="100"/>
      <c r="E1161" s="102"/>
      <c r="F1161" s="102"/>
      <c r="G1161" s="100"/>
      <c r="H1161" s="100"/>
    </row>
    <row r="1162" spans="1:10" s="20" customFormat="1" hidden="1">
      <c r="A1162" s="100"/>
      <c r="B1162" s="339" t="s">
        <v>446</v>
      </c>
      <c r="C1162" s="370">
        <v>11.97</v>
      </c>
      <c r="D1162" s="100" t="s">
        <v>447</v>
      </c>
      <c r="E1162" s="102"/>
      <c r="F1162" s="102"/>
      <c r="G1162" s="100"/>
      <c r="H1162" s="100"/>
    </row>
    <row r="1163" spans="1:10" s="20" customFormat="1" hidden="1">
      <c r="A1163" s="100"/>
      <c r="B1163" s="339" t="s">
        <v>448</v>
      </c>
      <c r="C1163" s="370">
        <v>6.21</v>
      </c>
      <c r="D1163" s="100" t="s">
        <v>447</v>
      </c>
      <c r="E1163" s="102"/>
      <c r="F1163" s="102"/>
      <c r="G1163" s="100"/>
      <c r="H1163" s="100"/>
    </row>
    <row r="1164" spans="1:10" s="20" customFormat="1" hidden="1">
      <c r="A1164" s="100"/>
      <c r="B1164" s="339" t="s">
        <v>449</v>
      </c>
      <c r="C1164" s="370">
        <v>5.9</v>
      </c>
      <c r="D1164" s="100" t="s">
        <v>447</v>
      </c>
      <c r="E1164" s="102"/>
      <c r="F1164" s="102"/>
      <c r="G1164" s="100"/>
      <c r="H1164" s="100"/>
    </row>
    <row r="1165" spans="1:10" s="20" customFormat="1" hidden="1">
      <c r="A1165" s="100"/>
      <c r="B1165" s="339" t="s">
        <v>1071</v>
      </c>
      <c r="C1165" s="370">
        <v>0.31</v>
      </c>
      <c r="D1165" s="100" t="s">
        <v>447</v>
      </c>
      <c r="E1165" s="102"/>
      <c r="F1165" s="102"/>
      <c r="G1165" s="100"/>
      <c r="H1165" s="102"/>
    </row>
    <row r="1166" spans="1:10" s="20" customFormat="1" hidden="1">
      <c r="A1166" s="100"/>
      <c r="B1166" s="339" t="s">
        <v>450</v>
      </c>
      <c r="C1166" s="370">
        <v>24.389999999999997</v>
      </c>
      <c r="D1166" s="100" t="s">
        <v>447</v>
      </c>
      <c r="E1166" s="100"/>
      <c r="F1166" s="100"/>
      <c r="G1166" s="100"/>
      <c r="H1166" s="102"/>
    </row>
    <row r="1167" spans="1:10" s="20" customFormat="1" hidden="1">
      <c r="A1167" s="100"/>
      <c r="B1167" s="339" t="s">
        <v>1072</v>
      </c>
      <c r="C1167" s="370">
        <v>1.22</v>
      </c>
      <c r="D1167" s="100" t="s">
        <v>447</v>
      </c>
      <c r="E1167" s="102"/>
      <c r="F1167" s="102"/>
      <c r="G1167" s="100"/>
      <c r="H1167" s="102"/>
    </row>
    <row r="1168" spans="1:10" s="20" customFormat="1" hidden="1">
      <c r="A1168" s="100"/>
      <c r="B1168" s="339"/>
      <c r="C1168" s="370">
        <v>25.609999999999996</v>
      </c>
      <c r="D1168" s="100" t="s">
        <v>447</v>
      </c>
      <c r="E1168" s="102">
        <v>240</v>
      </c>
      <c r="F1168" s="102">
        <f t="shared" ref="F1168:F1173" si="1">E1168*C1168</f>
        <v>6146.3999999999987</v>
      </c>
      <c r="G1168" s="100"/>
      <c r="H1168" s="100"/>
    </row>
    <row r="1169" spans="1:8" s="20" customFormat="1" hidden="1">
      <c r="A1169" s="100"/>
      <c r="B1169" s="339" t="s">
        <v>451</v>
      </c>
      <c r="C1169" s="370">
        <v>34.94</v>
      </c>
      <c r="D1169" s="100" t="s">
        <v>452</v>
      </c>
      <c r="E1169" s="102">
        <v>10</v>
      </c>
      <c r="F1169" s="102">
        <f t="shared" si="1"/>
        <v>349.4</v>
      </c>
      <c r="G1169" s="100"/>
      <c r="H1169" s="100"/>
    </row>
    <row r="1170" spans="1:8" s="20" customFormat="1" hidden="1">
      <c r="A1170" s="100"/>
      <c r="B1170" s="339" t="s">
        <v>453</v>
      </c>
      <c r="C1170" s="370">
        <v>40</v>
      </c>
      <c r="D1170" s="100" t="s">
        <v>454</v>
      </c>
      <c r="E1170" s="102">
        <v>7</v>
      </c>
      <c r="F1170" s="102">
        <f t="shared" si="1"/>
        <v>280</v>
      </c>
      <c r="G1170" s="100"/>
      <c r="H1170" s="100"/>
    </row>
    <row r="1171" spans="1:8" s="20" customFormat="1" hidden="1">
      <c r="A1171" s="100"/>
      <c r="B1171" s="339" t="s">
        <v>1073</v>
      </c>
      <c r="C1171" s="370">
        <v>10</v>
      </c>
      <c r="D1171" s="100" t="s">
        <v>454</v>
      </c>
      <c r="E1171" s="102">
        <v>2</v>
      </c>
      <c r="F1171" s="102">
        <f t="shared" si="1"/>
        <v>20</v>
      </c>
      <c r="G1171" s="100"/>
      <c r="H1171" s="100"/>
    </row>
    <row r="1172" spans="1:8" s="20" customFormat="1" hidden="1">
      <c r="A1172" s="100"/>
      <c r="B1172" s="339" t="s">
        <v>1074</v>
      </c>
      <c r="C1172" s="370">
        <v>30</v>
      </c>
      <c r="D1172" s="100" t="s">
        <v>454</v>
      </c>
      <c r="E1172" s="102">
        <v>0.64</v>
      </c>
      <c r="F1172" s="102">
        <f t="shared" si="1"/>
        <v>19.2</v>
      </c>
      <c r="G1172" s="100"/>
      <c r="H1172" s="100"/>
    </row>
    <row r="1173" spans="1:8" s="20" customFormat="1" hidden="1">
      <c r="A1173" s="100"/>
      <c r="B1173" s="339" t="s">
        <v>455</v>
      </c>
      <c r="C1173" s="370">
        <v>2</v>
      </c>
      <c r="D1173" s="100" t="s">
        <v>391</v>
      </c>
      <c r="E1173" s="102">
        <v>128</v>
      </c>
      <c r="F1173" s="102">
        <f t="shared" si="1"/>
        <v>256</v>
      </c>
      <c r="G1173" s="100"/>
      <c r="H1173" s="100"/>
    </row>
    <row r="1174" spans="1:8" s="20" customFormat="1" hidden="1">
      <c r="A1174" s="100"/>
      <c r="B1174" s="339"/>
      <c r="C1174" s="370"/>
      <c r="D1174" s="100"/>
      <c r="E1174" s="102"/>
      <c r="F1174" s="102">
        <f>SUM(F1168:F1173)</f>
        <v>7070.9999999999982</v>
      </c>
      <c r="G1174" s="100"/>
      <c r="H1174" s="100"/>
    </row>
    <row r="1175" spans="1:8" s="20" customFormat="1" hidden="1">
      <c r="A1175" s="100"/>
      <c r="B1175" s="1082" t="s">
        <v>456</v>
      </c>
      <c r="C1175" s="370"/>
      <c r="D1175" s="100"/>
      <c r="E1175" s="102"/>
      <c r="F1175" s="102"/>
      <c r="G1175" s="100"/>
      <c r="H1175" s="100"/>
    </row>
    <row r="1176" spans="1:8" s="20" customFormat="1" hidden="1">
      <c r="A1176" s="100"/>
      <c r="B1176" s="339" t="s">
        <v>1075</v>
      </c>
      <c r="C1176" s="370">
        <v>1.5</v>
      </c>
      <c r="D1176" s="100" t="s">
        <v>454</v>
      </c>
      <c r="E1176" s="102">
        <f>Lead!E66</f>
        <v>260</v>
      </c>
      <c r="F1176" s="102">
        <f>E1176*C1176</f>
        <v>390</v>
      </c>
      <c r="G1176" s="100"/>
      <c r="H1176" s="100"/>
    </row>
    <row r="1177" spans="1:8" s="20" customFormat="1" hidden="1">
      <c r="A1177" s="100"/>
      <c r="B1177" s="339" t="s">
        <v>1076</v>
      </c>
      <c r="C1177" s="370">
        <v>1.5</v>
      </c>
      <c r="D1177" s="100" t="s">
        <v>454</v>
      </c>
      <c r="E1177" s="102">
        <f>Lead!J52</f>
        <v>220</v>
      </c>
      <c r="F1177" s="102">
        <f>E1177*C1177</f>
        <v>330</v>
      </c>
      <c r="G1177" s="100"/>
      <c r="H1177" s="100"/>
    </row>
    <row r="1178" spans="1:8" s="20" customFormat="1" hidden="1">
      <c r="A1178" s="100"/>
      <c r="B1178" s="339" t="s">
        <v>1077</v>
      </c>
      <c r="C1178" s="370">
        <v>3.3</v>
      </c>
      <c r="D1178" s="100" t="s">
        <v>454</v>
      </c>
      <c r="E1178" s="102">
        <f>Lead!J52</f>
        <v>220</v>
      </c>
      <c r="F1178" s="102">
        <f>E1178*C1178</f>
        <v>726</v>
      </c>
      <c r="G1178" s="100"/>
      <c r="H1178" s="100"/>
    </row>
    <row r="1179" spans="1:8" s="20" customFormat="1" hidden="1">
      <c r="A1179" s="100"/>
      <c r="B1179" s="339" t="s">
        <v>51</v>
      </c>
      <c r="C1179" s="370">
        <v>3.3</v>
      </c>
      <c r="D1179" s="100" t="s">
        <v>454</v>
      </c>
      <c r="E1179" s="102">
        <f>Lead!E47</f>
        <v>200</v>
      </c>
      <c r="F1179" s="102">
        <f>E1179*C1179</f>
        <v>660</v>
      </c>
      <c r="G1179" s="100"/>
      <c r="H1179" s="100"/>
    </row>
    <row r="1180" spans="1:8" s="20" customFormat="1" hidden="1">
      <c r="A1180" s="100"/>
      <c r="B1180" s="339"/>
      <c r="C1180" s="370"/>
      <c r="D1180" s="100"/>
      <c r="E1180" s="102"/>
      <c r="F1180" s="102">
        <f>SUM(F1176:F1179)</f>
        <v>2106</v>
      </c>
      <c r="G1180" s="100"/>
      <c r="H1180" s="100"/>
    </row>
    <row r="1181" spans="1:8" s="20" customFormat="1" hidden="1">
      <c r="A1181" s="100"/>
      <c r="B1181" s="339" t="s">
        <v>1078</v>
      </c>
      <c r="C1181" s="370"/>
      <c r="D1181" s="100"/>
      <c r="E1181" s="102"/>
      <c r="F1181" s="102">
        <f>0.15*(F1174+F1180)</f>
        <v>1376.5499999999997</v>
      </c>
      <c r="G1181" s="100"/>
      <c r="H1181" s="100"/>
    </row>
    <row r="1182" spans="1:8" s="20" customFormat="1" hidden="1">
      <c r="A1182" s="100"/>
      <c r="B1182" s="339" t="s">
        <v>1079</v>
      </c>
      <c r="C1182" s="370"/>
      <c r="D1182" s="100"/>
      <c r="E1182" s="102" t="s">
        <v>117</v>
      </c>
      <c r="F1182" s="102">
        <f>F1174+F1180+F1181</f>
        <v>10553.549999999997</v>
      </c>
      <c r="G1182" s="100" t="s">
        <v>1080</v>
      </c>
      <c r="H1182" s="100"/>
    </row>
    <row r="1183" spans="1:8" s="20" customFormat="1" hidden="1">
      <c r="A1183" s="100"/>
      <c r="B1183" s="339" t="s">
        <v>1081</v>
      </c>
      <c r="C1183" s="370"/>
      <c r="D1183" s="100"/>
      <c r="E1183" s="102"/>
      <c r="F1183" s="102">
        <f>F1182/24.39</f>
        <v>432.69987699876987</v>
      </c>
      <c r="G1183" s="100" t="s">
        <v>1082</v>
      </c>
      <c r="H1183" s="100"/>
    </row>
    <row r="1184" spans="1:8" s="20" customFormat="1" hidden="1">
      <c r="A1184" s="100"/>
      <c r="B1184" s="339" t="s">
        <v>457</v>
      </c>
      <c r="C1184" s="370"/>
      <c r="D1184" s="100"/>
      <c r="E1184" s="102"/>
      <c r="F1184" s="102">
        <f>0.01*F1183</f>
        <v>4.3269987699876991</v>
      </c>
      <c r="G1184" s="100"/>
      <c r="H1184" s="100"/>
    </row>
    <row r="1185" spans="1:10" s="20" customFormat="1" hidden="1">
      <c r="A1185" s="100"/>
      <c r="B1185" s="339"/>
      <c r="C1185" s="370"/>
      <c r="D1185" s="100"/>
      <c r="E1185" s="102" t="s">
        <v>458</v>
      </c>
      <c r="F1185" s="102">
        <f>SUM(F1183:F1184)</f>
        <v>437.02687576875758</v>
      </c>
      <c r="G1185" s="100"/>
      <c r="H1185" s="100"/>
    </row>
    <row r="1186" spans="1:10" s="20" customFormat="1" hidden="1">
      <c r="A1186" s="100"/>
      <c r="B1186" s="339"/>
      <c r="C1186" s="370"/>
      <c r="D1186" s="100"/>
      <c r="E1186" s="364" t="s">
        <v>120</v>
      </c>
      <c r="F1186" s="364">
        <f>ROUND(F1185,0)</f>
        <v>437</v>
      </c>
      <c r="G1186" s="100"/>
      <c r="H1186" s="100"/>
    </row>
    <row r="1187" spans="1:10" s="149" customFormat="1" hidden="1">
      <c r="A1187" s="164"/>
      <c r="B1187" s="164"/>
      <c r="C1187" s="165"/>
      <c r="D1187" s="165"/>
      <c r="E1187" s="165"/>
      <c r="F1187" s="165"/>
      <c r="G1187" s="165"/>
      <c r="H1187" s="165"/>
      <c r="I1187" s="121"/>
      <c r="J1187" s="121"/>
    </row>
    <row r="1188" spans="1:10" s="149" customFormat="1" hidden="1">
      <c r="A1188" s="164"/>
      <c r="B1188" s="164"/>
      <c r="C1188" s="165"/>
      <c r="D1188" s="165"/>
      <c r="E1188" s="165"/>
      <c r="F1188" s="165"/>
      <c r="G1188" s="165"/>
      <c r="H1188" s="165"/>
      <c r="I1188" s="121"/>
      <c r="J1188" s="121"/>
    </row>
    <row r="1189" spans="1:10" s="20" customFormat="1" ht="25.5" hidden="1">
      <c r="A1189" s="126">
        <v>35</v>
      </c>
      <c r="B1189" s="137" t="s">
        <v>294</v>
      </c>
      <c r="C1189" s="1049" t="s">
        <v>165</v>
      </c>
      <c r="D1189" s="1049"/>
      <c r="E1189" s="1049"/>
      <c r="F1189" s="102"/>
      <c r="G1189" s="100"/>
      <c r="H1189" s="100"/>
    </row>
    <row r="1190" spans="1:10" s="20" customFormat="1" hidden="1">
      <c r="A1190" s="174" t="s">
        <v>37</v>
      </c>
      <c r="B1190" s="1052" t="s">
        <v>70</v>
      </c>
      <c r="C1190" s="1058"/>
      <c r="D1190" s="1049"/>
      <c r="E1190" s="1058"/>
      <c r="F1190" s="1058"/>
      <c r="G1190" s="100"/>
      <c r="H1190" s="100"/>
    </row>
    <row r="1191" spans="1:10" s="20" customFormat="1" hidden="1">
      <c r="A1191" s="174"/>
      <c r="B1191" s="339" t="s">
        <v>11</v>
      </c>
      <c r="C1191" s="1058"/>
      <c r="D1191" s="1058"/>
      <c r="E1191" s="1058"/>
      <c r="F1191" s="1058"/>
      <c r="G1191" s="100"/>
      <c r="H1191" s="100"/>
    </row>
    <row r="1192" spans="1:10" s="20" customFormat="1" hidden="1">
      <c r="A1192" s="174"/>
      <c r="B1192" s="460" t="s">
        <v>10</v>
      </c>
      <c r="C1192" s="102"/>
      <c r="D1192" s="102"/>
      <c r="E1192" s="102"/>
      <c r="F1192" s="102"/>
      <c r="G1192" s="100"/>
      <c r="H1192" s="100"/>
    </row>
    <row r="1193" spans="1:10" s="20" customFormat="1" hidden="1">
      <c r="A1193" s="174"/>
      <c r="B1193" s="156" t="s">
        <v>47</v>
      </c>
      <c r="C1193" s="102">
        <v>0.5</v>
      </c>
      <c r="D1193" s="102" t="s">
        <v>114</v>
      </c>
      <c r="E1193" s="102">
        <f>Lead!E66</f>
        <v>260</v>
      </c>
      <c r="F1193" s="102">
        <f>E1193*C1193</f>
        <v>130</v>
      </c>
      <c r="G1193" s="100"/>
      <c r="H1193" s="100"/>
    </row>
    <row r="1194" spans="1:10" s="20" customFormat="1" hidden="1">
      <c r="A1194" s="174"/>
      <c r="B1194" s="156" t="s">
        <v>48</v>
      </c>
      <c r="C1194" s="102">
        <v>0.5</v>
      </c>
      <c r="D1194" s="102" t="s">
        <v>114</v>
      </c>
      <c r="E1194" s="102">
        <f>Lead!E47</f>
        <v>200</v>
      </c>
      <c r="F1194" s="102">
        <f>E1194*C1194</f>
        <v>100</v>
      </c>
      <c r="G1194" s="100"/>
      <c r="H1194" s="100"/>
    </row>
    <row r="1195" spans="1:10" s="20" customFormat="1" hidden="1">
      <c r="A1195" s="174"/>
      <c r="B1195" s="332" t="s">
        <v>322</v>
      </c>
      <c r="C1195" s="102"/>
      <c r="D1195" s="102" t="s">
        <v>116</v>
      </c>
      <c r="E1195" s="102">
        <f>SUM(F1193:F1194)</f>
        <v>230</v>
      </c>
      <c r="F1195" s="102">
        <f>E1195*0.075</f>
        <v>17.25</v>
      </c>
      <c r="G1195" s="100"/>
      <c r="H1195" s="100"/>
    </row>
    <row r="1196" spans="1:10" s="20" customFormat="1" hidden="1">
      <c r="A1196" s="174"/>
      <c r="B1196" s="332" t="s">
        <v>323</v>
      </c>
      <c r="C1196" s="102"/>
      <c r="D1196" s="102" t="s">
        <v>116</v>
      </c>
      <c r="E1196" s="102">
        <f>SUM(F1193:F1194)</f>
        <v>230</v>
      </c>
      <c r="F1196" s="102">
        <f>E1196*0.075</f>
        <v>17.25</v>
      </c>
      <c r="G1196" s="100"/>
      <c r="H1196" s="100"/>
    </row>
    <row r="1197" spans="1:10" s="20" customFormat="1" hidden="1">
      <c r="A1197" s="174"/>
      <c r="B1197" s="156" t="s">
        <v>12</v>
      </c>
      <c r="C1197" s="102">
        <v>0.50219999999999998</v>
      </c>
      <c r="D1197" s="102" t="s">
        <v>9</v>
      </c>
      <c r="E1197" s="102">
        <v>123</v>
      </c>
      <c r="F1197" s="102">
        <f>C1197*E1197</f>
        <v>61.770599999999995</v>
      </c>
      <c r="G1197" s="100"/>
      <c r="H1197" s="100"/>
    </row>
    <row r="1198" spans="1:10" s="20" customFormat="1" hidden="1">
      <c r="A1198" s="174"/>
      <c r="B1198" s="1055" t="s">
        <v>117</v>
      </c>
      <c r="C1198" s="102"/>
      <c r="D1198" s="102"/>
      <c r="E1198" s="102"/>
      <c r="F1198" s="102">
        <f>SUM(F1193:F1197)</f>
        <v>326.2706</v>
      </c>
      <c r="G1198" s="100"/>
      <c r="H1198" s="100"/>
    </row>
    <row r="1199" spans="1:10" s="20" customFormat="1" hidden="1">
      <c r="A1199" s="174"/>
      <c r="B1199" s="156" t="s">
        <v>50</v>
      </c>
      <c r="C1199" s="102"/>
      <c r="D1199" s="102"/>
      <c r="E1199" s="102"/>
      <c r="F1199" s="102">
        <f>F1198/9.3</f>
        <v>35.082860215053763</v>
      </c>
      <c r="G1199" s="100"/>
      <c r="H1199" s="100"/>
    </row>
    <row r="1200" spans="1:10" s="20" customFormat="1" hidden="1">
      <c r="A1200" s="174"/>
      <c r="B1200" s="460" t="s">
        <v>292</v>
      </c>
      <c r="C1200" s="1058"/>
      <c r="D1200" s="1058"/>
      <c r="E1200" s="1058"/>
      <c r="F1200" s="1058"/>
      <c r="G1200" s="100"/>
      <c r="H1200" s="100"/>
    </row>
    <row r="1201" spans="1:8" s="20" customFormat="1" hidden="1">
      <c r="A1201" s="174"/>
      <c r="B1201" s="339" t="s">
        <v>6</v>
      </c>
      <c r="C1201" s="102">
        <v>1.25</v>
      </c>
      <c r="D1201" s="102" t="s">
        <v>114</v>
      </c>
      <c r="E1201" s="102">
        <f>Lead!J66</f>
        <v>260</v>
      </c>
      <c r="F1201" s="102">
        <f>E1201*C1201</f>
        <v>325</v>
      </c>
      <c r="G1201" s="100"/>
      <c r="H1201" s="100"/>
    </row>
    <row r="1202" spans="1:8" s="20" customFormat="1" hidden="1">
      <c r="A1202" s="174"/>
      <c r="B1202" s="339" t="s">
        <v>27</v>
      </c>
      <c r="C1202" s="102">
        <v>1</v>
      </c>
      <c r="D1202" s="102" t="s">
        <v>114</v>
      </c>
      <c r="E1202" s="102">
        <f>Lead!E47</f>
        <v>200</v>
      </c>
      <c r="F1202" s="102">
        <f>E1202*C1202</f>
        <v>200</v>
      </c>
      <c r="G1202" s="100"/>
      <c r="H1202" s="100"/>
    </row>
    <row r="1203" spans="1:8" s="20" customFormat="1" hidden="1">
      <c r="A1203" s="174"/>
      <c r="B1203" s="339" t="s">
        <v>7</v>
      </c>
      <c r="C1203" s="102">
        <v>0.1</v>
      </c>
      <c r="D1203" s="102" t="s">
        <v>114</v>
      </c>
      <c r="E1203" s="102">
        <f>Lead!E47</f>
        <v>200</v>
      </c>
      <c r="F1203" s="102">
        <f>E1203*C1203</f>
        <v>20</v>
      </c>
      <c r="G1203" s="100"/>
      <c r="H1203" s="100"/>
    </row>
    <row r="1204" spans="1:8" s="20" customFormat="1" hidden="1">
      <c r="A1204" s="174"/>
      <c r="B1204" s="332" t="s">
        <v>322</v>
      </c>
      <c r="C1204" s="102"/>
      <c r="D1204" s="102" t="s">
        <v>116</v>
      </c>
      <c r="E1204" s="102">
        <f>SUM(F1201:F1203)</f>
        <v>545</v>
      </c>
      <c r="F1204" s="102">
        <f>E1204*0.075</f>
        <v>40.875</v>
      </c>
      <c r="G1204" s="100"/>
      <c r="H1204" s="100"/>
    </row>
    <row r="1205" spans="1:8" s="20" customFormat="1" hidden="1">
      <c r="A1205" s="174"/>
      <c r="B1205" s="332" t="s">
        <v>323</v>
      </c>
      <c r="C1205" s="102"/>
      <c r="D1205" s="102" t="s">
        <v>116</v>
      </c>
      <c r="E1205" s="102">
        <f>SUM(F1201:F1203)</f>
        <v>545</v>
      </c>
      <c r="F1205" s="102">
        <f>E1205*0.075</f>
        <v>40.875</v>
      </c>
      <c r="G1205" s="100"/>
      <c r="H1205" s="100"/>
    </row>
    <row r="1206" spans="1:8" s="20" customFormat="1" hidden="1">
      <c r="A1206" s="174"/>
      <c r="B1206" s="339" t="s">
        <v>8</v>
      </c>
      <c r="C1206" s="102">
        <v>1.1625000000000001</v>
      </c>
      <c r="D1206" s="102" t="s">
        <v>9</v>
      </c>
      <c r="E1206" s="102">
        <v>191</v>
      </c>
      <c r="F1206" s="102">
        <f>E1206*C1206</f>
        <v>222.03750000000002</v>
      </c>
      <c r="G1206" s="100"/>
      <c r="H1206" s="100"/>
    </row>
    <row r="1207" spans="1:8" s="20" customFormat="1" hidden="1">
      <c r="A1207" s="174"/>
      <c r="B1207" s="339" t="s">
        <v>117</v>
      </c>
      <c r="C1207" s="102"/>
      <c r="D1207" s="102"/>
      <c r="E1207" s="102"/>
      <c r="F1207" s="102">
        <f>SUM(F1201:F1206)</f>
        <v>848.78750000000002</v>
      </c>
      <c r="G1207" s="100"/>
      <c r="H1207" s="100"/>
    </row>
    <row r="1208" spans="1:8" s="20" customFormat="1" hidden="1">
      <c r="A1208" s="174"/>
      <c r="B1208" s="339" t="s">
        <v>3</v>
      </c>
      <c r="C1208" s="102"/>
      <c r="D1208" s="102"/>
      <c r="E1208" s="102"/>
      <c r="F1208" s="102">
        <f>F1207/9.3</f>
        <v>91.267473118279568</v>
      </c>
      <c r="G1208" s="100"/>
      <c r="H1208" s="100"/>
    </row>
    <row r="1209" spans="1:8" s="20" customFormat="1" hidden="1">
      <c r="A1209" s="174"/>
      <c r="B1209" s="1052" t="s">
        <v>293</v>
      </c>
      <c r="C1209" s="1058"/>
      <c r="D1209" s="1058"/>
      <c r="E1209" s="1058"/>
      <c r="F1209" s="1049">
        <f>F1208+F1199</f>
        <v>126.35033333333334</v>
      </c>
      <c r="G1209" s="100"/>
      <c r="H1209" s="100"/>
    </row>
    <row r="1210" spans="1:8" s="20" customFormat="1" hidden="1">
      <c r="A1210" s="174"/>
      <c r="B1210" s="1056"/>
      <c r="C1210" s="1058"/>
      <c r="D1210" s="1058"/>
      <c r="E1210" s="1058" t="s">
        <v>120</v>
      </c>
      <c r="F1210" s="1058">
        <f>ROUND(F1209,1)</f>
        <v>126.4</v>
      </c>
      <c r="G1210" s="100"/>
      <c r="H1210" s="100"/>
    </row>
    <row r="1211" spans="1:8" s="20" customFormat="1" hidden="1">
      <c r="A1211" s="174" t="s">
        <v>38</v>
      </c>
      <c r="B1211" s="1052" t="s">
        <v>71</v>
      </c>
      <c r="C1211" s="1058"/>
      <c r="D1211" s="1058"/>
      <c r="E1211" s="1058"/>
      <c r="F1211" s="1058"/>
      <c r="G1211" s="100"/>
      <c r="H1211" s="100"/>
    </row>
    <row r="1212" spans="1:8" s="20" customFormat="1" hidden="1">
      <c r="A1212" s="174"/>
      <c r="B1212" s="339" t="s">
        <v>318</v>
      </c>
      <c r="C1212" s="102"/>
      <c r="D1212" s="102"/>
      <c r="E1212" s="102"/>
      <c r="F1212" s="102">
        <f>F1209</f>
        <v>126.35033333333334</v>
      </c>
      <c r="G1212" s="100"/>
      <c r="H1212" s="100"/>
    </row>
    <row r="1213" spans="1:8" s="20" customFormat="1" hidden="1">
      <c r="A1213" s="174"/>
      <c r="B1213" s="1054" t="s">
        <v>281</v>
      </c>
      <c r="C1213" s="102"/>
      <c r="D1213" s="102"/>
      <c r="E1213" s="102">
        <f>((F1193+F1194)+(F1193+F1194)*0.15)/9.3+((F1201+F1202+F1203)+(F1201+F1202+F1203)*0.15)/9.3</f>
        <v>95.833333333333329</v>
      </c>
      <c r="F1213" s="102">
        <f>E1213*0.03</f>
        <v>2.8749999999999996</v>
      </c>
      <c r="G1213" s="100"/>
      <c r="H1213" s="100"/>
    </row>
    <row r="1214" spans="1:8" s="20" customFormat="1" hidden="1">
      <c r="A1214" s="174"/>
      <c r="B1214" s="1055" t="s">
        <v>117</v>
      </c>
      <c r="C1214" s="102"/>
      <c r="D1214" s="102"/>
      <c r="E1214" s="102"/>
      <c r="F1214" s="102">
        <f>SUM(F1212:F1213)</f>
        <v>129.22533333333334</v>
      </c>
      <c r="G1214" s="100"/>
      <c r="H1214" s="100"/>
    </row>
    <row r="1215" spans="1:8" s="20" customFormat="1" hidden="1">
      <c r="A1215" s="174"/>
      <c r="B1215" s="1056"/>
      <c r="C1215" s="1058"/>
      <c r="D1215" s="1058"/>
      <c r="E1215" s="1058" t="s">
        <v>120</v>
      </c>
      <c r="F1215" s="1058">
        <f>ROUND(F1214,1)</f>
        <v>129.19999999999999</v>
      </c>
      <c r="G1215" s="100"/>
      <c r="H1215" s="100"/>
    </row>
    <row r="1216" spans="1:8" s="20" customFormat="1" hidden="1">
      <c r="A1216" s="100" t="s">
        <v>39</v>
      </c>
      <c r="B1216" s="339" t="s">
        <v>267</v>
      </c>
      <c r="C1216" s="102"/>
      <c r="D1216" s="102"/>
      <c r="E1216" s="102"/>
      <c r="F1216" s="102"/>
      <c r="G1216" s="100"/>
      <c r="H1216" s="100"/>
    </row>
    <row r="1217" spans="1:10" s="20" customFormat="1" hidden="1">
      <c r="A1217" s="100"/>
      <c r="B1217" s="339" t="s">
        <v>278</v>
      </c>
      <c r="C1217" s="102"/>
      <c r="D1217" s="102"/>
      <c r="E1217" s="102"/>
      <c r="F1217" s="102">
        <f>F1214</f>
        <v>129.22533333333334</v>
      </c>
      <c r="G1217" s="100"/>
      <c r="H1217" s="100"/>
    </row>
    <row r="1218" spans="1:10" s="20" customFormat="1" hidden="1">
      <c r="A1218" s="100"/>
      <c r="B1218" s="1054" t="s">
        <v>282</v>
      </c>
      <c r="C1218" s="102"/>
      <c r="D1218" s="102"/>
      <c r="E1218" s="102">
        <f>E1213+F1213</f>
        <v>98.708333333333329</v>
      </c>
      <c r="F1218" s="102">
        <f>E1218*0.03</f>
        <v>2.9612499999999997</v>
      </c>
      <c r="G1218" s="100"/>
      <c r="H1218" s="100"/>
    </row>
    <row r="1219" spans="1:10" s="20" customFormat="1" hidden="1">
      <c r="A1219" s="100"/>
      <c r="B1219" s="1055" t="s">
        <v>117</v>
      </c>
      <c r="C1219" s="102"/>
      <c r="D1219" s="102"/>
      <c r="E1219" s="102"/>
      <c r="F1219" s="102">
        <f>SUM(F1217:F1218)</f>
        <v>132.18658333333335</v>
      </c>
      <c r="G1219" s="100"/>
      <c r="H1219" s="100"/>
    </row>
    <row r="1220" spans="1:10" s="20" customFormat="1" hidden="1">
      <c r="A1220" s="100"/>
      <c r="B1220" s="1056"/>
      <c r="C1220" s="1058"/>
      <c r="D1220" s="1058"/>
      <c r="E1220" s="1058" t="s">
        <v>120</v>
      </c>
      <c r="F1220" s="1058">
        <f>ROUND(F1219,1)</f>
        <v>132.19999999999999</v>
      </c>
      <c r="G1220" s="100"/>
      <c r="H1220" s="100"/>
    </row>
    <row r="1221" spans="1:10" s="149" customFormat="1" hidden="1">
      <c r="A1221" s="164"/>
      <c r="B1221" s="164"/>
      <c r="C1221" s="165"/>
      <c r="D1221" s="165"/>
      <c r="E1221" s="165"/>
      <c r="F1221" s="165"/>
      <c r="G1221" s="165"/>
      <c r="H1221" s="165"/>
      <c r="I1221" s="121"/>
      <c r="J1221" s="121"/>
    </row>
    <row r="1222" spans="1:10" s="149" customFormat="1" hidden="1">
      <c r="A1222" s="164"/>
      <c r="B1222" s="164"/>
      <c r="C1222" s="165"/>
      <c r="D1222" s="165"/>
      <c r="E1222" s="165"/>
      <c r="F1222" s="165"/>
      <c r="G1222" s="165"/>
      <c r="H1222" s="165"/>
      <c r="I1222" s="121"/>
      <c r="J1222" s="121"/>
    </row>
    <row r="1223" spans="1:10" s="20" customFormat="1" ht="25.5" hidden="1">
      <c r="A1223" s="126">
        <v>31</v>
      </c>
      <c r="B1223" s="460" t="s">
        <v>1083</v>
      </c>
      <c r="C1223" s="102"/>
      <c r="D1223" s="100" t="s">
        <v>165</v>
      </c>
      <c r="E1223" s="250"/>
      <c r="F1223" s="250"/>
      <c r="G1223" s="100"/>
      <c r="H1223" s="100"/>
    </row>
    <row r="1224" spans="1:10" s="20" customFormat="1" hidden="1">
      <c r="A1224" s="126" t="s">
        <v>37</v>
      </c>
      <c r="B1224" s="460" t="s">
        <v>1008</v>
      </c>
      <c r="C1224" s="102"/>
      <c r="D1224" s="100"/>
      <c r="E1224" s="250"/>
      <c r="F1224" s="250"/>
      <c r="G1224" s="100"/>
      <c r="H1224" s="100"/>
    </row>
    <row r="1225" spans="1:10" s="20" customFormat="1" hidden="1">
      <c r="A1225" s="174"/>
      <c r="B1225" s="339" t="s">
        <v>4</v>
      </c>
      <c r="C1225" s="102"/>
      <c r="D1225" s="100"/>
      <c r="E1225" s="250"/>
      <c r="F1225" s="250"/>
      <c r="G1225" s="100"/>
      <c r="H1225" s="100"/>
    </row>
    <row r="1226" spans="1:10" s="20" customFormat="1" hidden="1">
      <c r="A1226" s="174"/>
      <c r="B1226" s="339" t="s">
        <v>330</v>
      </c>
      <c r="C1226" s="102">
        <v>8</v>
      </c>
      <c r="D1226" s="100" t="s">
        <v>18</v>
      </c>
      <c r="E1226" s="250">
        <v>30</v>
      </c>
      <c r="F1226" s="250">
        <f>E1226*C1226</f>
        <v>240</v>
      </c>
      <c r="G1226" s="100"/>
      <c r="H1226" s="100"/>
    </row>
    <row r="1227" spans="1:10" s="20" customFormat="1" hidden="1">
      <c r="A1227" s="174"/>
      <c r="B1227" s="339" t="s">
        <v>329</v>
      </c>
      <c r="C1227" s="102">
        <v>0.5</v>
      </c>
      <c r="D1227" s="100" t="s">
        <v>114</v>
      </c>
      <c r="E1227" s="102">
        <f>Lead!J57</f>
        <v>240</v>
      </c>
      <c r="F1227" s="250">
        <f>E1227*C1227</f>
        <v>120</v>
      </c>
      <c r="G1227" s="100"/>
      <c r="H1227" s="100"/>
    </row>
    <row r="1228" spans="1:10" s="20" customFormat="1" hidden="1">
      <c r="A1228" s="174"/>
      <c r="B1228" s="339" t="s">
        <v>27</v>
      </c>
      <c r="C1228" s="102">
        <v>0.5</v>
      </c>
      <c r="D1228" s="100" t="s">
        <v>114</v>
      </c>
      <c r="E1228" s="102">
        <f>Lead!E47</f>
        <v>200</v>
      </c>
      <c r="F1228" s="250">
        <f>E1228*C1228</f>
        <v>100</v>
      </c>
      <c r="G1228" s="100"/>
      <c r="H1228" s="100"/>
    </row>
    <row r="1229" spans="1:10" s="20" customFormat="1" hidden="1">
      <c r="A1229" s="174"/>
      <c r="B1229" s="339" t="s">
        <v>7</v>
      </c>
      <c r="C1229" s="102">
        <v>7.0000000000000007E-2</v>
      </c>
      <c r="D1229" s="100" t="s">
        <v>114</v>
      </c>
      <c r="E1229" s="102">
        <f>Lead!E47</f>
        <v>200</v>
      </c>
      <c r="F1229" s="250">
        <f>E1229*C1229</f>
        <v>14.000000000000002</v>
      </c>
      <c r="G1229" s="100"/>
      <c r="H1229" s="100"/>
    </row>
    <row r="1230" spans="1:10" s="20" customFormat="1" hidden="1">
      <c r="A1230" s="174"/>
      <c r="B1230" s="156" t="s">
        <v>1061</v>
      </c>
      <c r="C1230" s="102"/>
      <c r="D1230" s="100" t="s">
        <v>116</v>
      </c>
      <c r="E1230" s="250">
        <f>SUM(F1226:F1229)</f>
        <v>474</v>
      </c>
      <c r="F1230" s="250">
        <f>E1230*0.15</f>
        <v>71.099999999999994</v>
      </c>
      <c r="G1230" s="100"/>
      <c r="H1230" s="100"/>
    </row>
    <row r="1231" spans="1:10" s="20" customFormat="1" hidden="1">
      <c r="A1231" s="174"/>
      <c r="B1231" s="156" t="s">
        <v>117</v>
      </c>
      <c r="C1231" s="102"/>
      <c r="D1231" s="100"/>
      <c r="E1231" s="250"/>
      <c r="F1231" s="250">
        <f>SUM(F1226:F1230)</f>
        <v>545.1</v>
      </c>
      <c r="G1231" s="100"/>
      <c r="H1231" s="100"/>
    </row>
    <row r="1232" spans="1:10" s="20" customFormat="1" hidden="1">
      <c r="A1232" s="174"/>
      <c r="B1232" s="156" t="s">
        <v>50</v>
      </c>
      <c r="C1232" s="102"/>
      <c r="D1232" s="100"/>
      <c r="E1232" s="250"/>
      <c r="F1232" s="250">
        <f>F1231/10</f>
        <v>54.510000000000005</v>
      </c>
      <c r="G1232" s="100"/>
      <c r="H1232" s="100"/>
    </row>
    <row r="1233" spans="1:10" s="20" customFormat="1" hidden="1">
      <c r="A1233" s="174"/>
      <c r="B1233" s="617" t="s">
        <v>493</v>
      </c>
      <c r="C1233" s="100"/>
      <c r="D1233" s="100"/>
      <c r="E1233" s="100"/>
      <c r="F1233" s="250">
        <f>F1232*0.01</f>
        <v>0.54510000000000003</v>
      </c>
      <c r="G1233" s="100"/>
      <c r="H1233" s="100"/>
    </row>
    <row r="1234" spans="1:10" s="20" customFormat="1" hidden="1">
      <c r="A1234" s="174"/>
      <c r="B1234" s="617" t="s">
        <v>117</v>
      </c>
      <c r="C1234" s="100"/>
      <c r="D1234" s="100"/>
      <c r="E1234" s="100"/>
      <c r="F1234" s="250">
        <f>SUM(F1232:F1233)</f>
        <v>55.055100000000003</v>
      </c>
      <c r="G1234" s="100"/>
      <c r="H1234" s="100"/>
    </row>
    <row r="1235" spans="1:10" s="20" customFormat="1" hidden="1">
      <c r="A1235" s="174"/>
      <c r="B1235" s="1078"/>
      <c r="C1235" s="249"/>
      <c r="D1235" s="249"/>
      <c r="E1235" s="249" t="s">
        <v>120</v>
      </c>
      <c r="F1235" s="364">
        <f>ROUND(F1234,1)</f>
        <v>55.1</v>
      </c>
      <c r="G1235" s="100"/>
      <c r="H1235" s="100"/>
    </row>
    <row r="1236" spans="1:10" s="20" customFormat="1" hidden="1">
      <c r="A1236" s="126" t="s">
        <v>38</v>
      </c>
      <c r="B1236" s="1078" t="s">
        <v>1052</v>
      </c>
      <c r="C1236" s="249"/>
      <c r="D1236" s="249"/>
      <c r="E1236" s="249"/>
      <c r="F1236" s="364"/>
      <c r="G1236" s="100"/>
      <c r="H1236" s="100"/>
    </row>
    <row r="1237" spans="1:10" s="20" customFormat="1" hidden="1">
      <c r="A1237" s="174"/>
      <c r="B1237" s="614" t="s">
        <v>157</v>
      </c>
      <c r="C1237" s="100"/>
      <c r="D1237" s="100"/>
      <c r="E1237" s="100"/>
      <c r="F1237" s="102">
        <f>F1234</f>
        <v>55.055100000000003</v>
      </c>
      <c r="G1237" s="100"/>
      <c r="H1237" s="100"/>
    </row>
    <row r="1238" spans="1:10" s="20" customFormat="1" ht="25.5" hidden="1">
      <c r="A1238" s="174"/>
      <c r="B1238" s="763" t="s">
        <v>1084</v>
      </c>
      <c r="C1238" s="249"/>
      <c r="D1238" s="249"/>
      <c r="E1238" s="100">
        <f>((F1227+F1228+F1229)+(F1227+F1228+F1229)*0.15)</f>
        <v>269.10000000000002</v>
      </c>
      <c r="F1238" s="102">
        <f>E1238*0.03</f>
        <v>8.0730000000000004</v>
      </c>
      <c r="G1238" s="100"/>
      <c r="H1238" s="100"/>
    </row>
    <row r="1239" spans="1:10" s="20" customFormat="1" hidden="1">
      <c r="A1239" s="174"/>
      <c r="B1239" s="767"/>
      <c r="C1239" s="249"/>
      <c r="D1239" s="249"/>
      <c r="E1239" s="249"/>
      <c r="F1239" s="250">
        <f>SUM(F1237:F1238)</f>
        <v>63.128100000000003</v>
      </c>
      <c r="G1239" s="100"/>
      <c r="H1239" s="100"/>
    </row>
    <row r="1240" spans="1:10" s="20" customFormat="1" hidden="1">
      <c r="A1240" s="174"/>
      <c r="B1240" s="1078"/>
      <c r="C1240" s="249"/>
      <c r="D1240" s="249"/>
      <c r="E1240" s="249" t="s">
        <v>120</v>
      </c>
      <c r="F1240" s="364">
        <f>ROUND(F1239,1)</f>
        <v>63.1</v>
      </c>
      <c r="G1240" s="100"/>
      <c r="H1240" s="100"/>
    </row>
    <row r="1241" spans="1:10" s="20" customFormat="1" hidden="1">
      <c r="A1241" s="174"/>
      <c r="B1241" s="1078"/>
      <c r="C1241" s="249"/>
      <c r="D1241" s="249"/>
      <c r="E1241" s="249"/>
      <c r="F1241" s="364"/>
      <c r="G1241" s="100"/>
      <c r="H1241" s="100"/>
    </row>
    <row r="1242" spans="1:10" s="20" customFormat="1" hidden="1">
      <c r="A1242" s="126" t="s">
        <v>39</v>
      </c>
      <c r="B1242" s="1078" t="s">
        <v>1053</v>
      </c>
      <c r="C1242" s="249"/>
      <c r="D1242" s="249"/>
      <c r="E1242" s="249"/>
      <c r="F1242" s="364"/>
      <c r="G1242" s="100"/>
      <c r="H1242" s="100"/>
    </row>
    <row r="1243" spans="1:10" s="20" customFormat="1" hidden="1">
      <c r="A1243" s="174"/>
      <c r="B1243" s="614" t="s">
        <v>352</v>
      </c>
      <c r="C1243" s="100"/>
      <c r="D1243" s="100"/>
      <c r="E1243" s="100"/>
      <c r="F1243" s="102">
        <f>F1240</f>
        <v>63.1</v>
      </c>
      <c r="G1243" s="100"/>
      <c r="H1243" s="100"/>
    </row>
    <row r="1244" spans="1:10" s="20" customFormat="1" ht="25.5" hidden="1">
      <c r="A1244" s="174"/>
      <c r="B1244" s="763" t="s">
        <v>1084</v>
      </c>
      <c r="C1244" s="249"/>
      <c r="D1244" s="249"/>
      <c r="E1244" s="100">
        <f>((F1227+F1228+F1229)+(F1227+F1228+F1229)*0.15)</f>
        <v>269.10000000000002</v>
      </c>
      <c r="F1244" s="102">
        <f>E1244*0.03</f>
        <v>8.0730000000000004</v>
      </c>
      <c r="G1244" s="100"/>
      <c r="H1244" s="100"/>
    </row>
    <row r="1245" spans="1:10" s="20" customFormat="1" hidden="1">
      <c r="A1245" s="174"/>
      <c r="B1245" s="767"/>
      <c r="C1245" s="249"/>
      <c r="D1245" s="249"/>
      <c r="E1245" s="249"/>
      <c r="F1245" s="250">
        <f>SUM(F1243:F1244)</f>
        <v>71.173000000000002</v>
      </c>
      <c r="G1245" s="100"/>
      <c r="H1245" s="100"/>
    </row>
    <row r="1246" spans="1:10" s="20" customFormat="1" hidden="1">
      <c r="A1246" s="174"/>
      <c r="B1246" s="1078"/>
      <c r="C1246" s="249"/>
      <c r="D1246" s="249"/>
      <c r="E1246" s="249" t="s">
        <v>120</v>
      </c>
      <c r="F1246" s="364">
        <f>ROUND(F1245,1)</f>
        <v>71.2</v>
      </c>
      <c r="G1246" s="100"/>
      <c r="H1246" s="100"/>
    </row>
    <row r="1247" spans="1:10" s="149" customFormat="1" hidden="1">
      <c r="A1247" s="164"/>
      <c r="B1247" s="164"/>
      <c r="C1247" s="165"/>
      <c r="D1247" s="165"/>
      <c r="E1247" s="165"/>
      <c r="F1247" s="165"/>
      <c r="G1247" s="165"/>
      <c r="H1247" s="165"/>
      <c r="I1247" s="121"/>
      <c r="J1247" s="121"/>
    </row>
    <row r="1248" spans="1:10" s="20" customFormat="1" ht="76.5" hidden="1">
      <c r="A1248" s="174">
        <v>41</v>
      </c>
      <c r="B1248" s="460" t="s">
        <v>295</v>
      </c>
      <c r="C1248" s="1049" t="s">
        <v>165</v>
      </c>
      <c r="D1248" s="1049"/>
      <c r="E1248" s="1049"/>
      <c r="F1248" s="102"/>
      <c r="G1248" s="100"/>
      <c r="H1248" s="100"/>
    </row>
    <row r="1249" spans="1:8" s="20" customFormat="1" hidden="1">
      <c r="A1249" s="174"/>
      <c r="B1249" s="332" t="s">
        <v>14</v>
      </c>
      <c r="C1249" s="102"/>
      <c r="D1249" s="102"/>
      <c r="E1249" s="102"/>
      <c r="F1249" s="102"/>
      <c r="G1249" s="100"/>
      <c r="H1249" s="100"/>
    </row>
    <row r="1250" spans="1:8" s="20" customFormat="1" hidden="1">
      <c r="A1250" s="174"/>
      <c r="B1250" s="332" t="s">
        <v>150</v>
      </c>
      <c r="C1250" s="102"/>
      <c r="D1250" s="102"/>
      <c r="E1250" s="102"/>
      <c r="F1250" s="102"/>
      <c r="G1250" s="100"/>
      <c r="H1250" s="100"/>
    </row>
    <row r="1251" spans="1:8" s="20" customFormat="1" hidden="1">
      <c r="A1251" s="174"/>
      <c r="B1251" s="332" t="s">
        <v>33</v>
      </c>
      <c r="C1251" s="1049" t="s">
        <v>15</v>
      </c>
      <c r="D1251" s="1049" t="s">
        <v>127</v>
      </c>
      <c r="E1251" s="1049">
        <f>Lead!E29</f>
        <v>650</v>
      </c>
      <c r="F1251" s="1049">
        <f>C1251*E1251</f>
        <v>1207.05</v>
      </c>
      <c r="G1251" s="100"/>
      <c r="H1251" s="100"/>
    </row>
    <row r="1252" spans="1:8" s="20" customFormat="1" hidden="1">
      <c r="A1252" s="174"/>
      <c r="B1252" s="332" t="s">
        <v>162</v>
      </c>
      <c r="C1252" s="1049" t="s">
        <v>163</v>
      </c>
      <c r="D1252" s="1049" t="s">
        <v>123</v>
      </c>
      <c r="E1252" s="1049">
        <f>Lead!E20</f>
        <v>55</v>
      </c>
      <c r="F1252" s="1049">
        <f>C1252*E1252</f>
        <v>7.15</v>
      </c>
      <c r="G1252" s="100"/>
      <c r="H1252" s="100"/>
    </row>
    <row r="1253" spans="1:8" s="20" customFormat="1" hidden="1">
      <c r="A1253" s="174"/>
      <c r="B1253" s="332" t="s">
        <v>33</v>
      </c>
      <c r="C1253" s="1049" t="s">
        <v>16</v>
      </c>
      <c r="D1253" s="1049" t="s">
        <v>127</v>
      </c>
      <c r="E1253" s="1049">
        <f>E1251</f>
        <v>650</v>
      </c>
      <c r="F1253" s="1049">
        <f>C1253*E1253</f>
        <v>286</v>
      </c>
      <c r="G1253" s="100"/>
      <c r="H1253" s="100"/>
    </row>
    <row r="1254" spans="1:8" s="20" customFormat="1" hidden="1">
      <c r="A1254" s="174"/>
      <c r="B1254" s="332" t="s">
        <v>33</v>
      </c>
      <c r="C1254" s="1049" t="s">
        <v>16</v>
      </c>
      <c r="D1254" s="1049" t="s">
        <v>127</v>
      </c>
      <c r="E1254" s="1049">
        <f>E1251</f>
        <v>650</v>
      </c>
      <c r="F1254" s="1049">
        <f>C1254*E1254</f>
        <v>286</v>
      </c>
      <c r="G1254" s="100"/>
      <c r="H1254" s="100"/>
    </row>
    <row r="1255" spans="1:8" s="20" customFormat="1" hidden="1">
      <c r="A1255" s="174"/>
      <c r="B1255" s="332" t="s">
        <v>296</v>
      </c>
      <c r="C1255" s="1049">
        <v>10</v>
      </c>
      <c r="D1255" s="1049" t="s">
        <v>161</v>
      </c>
      <c r="E1255" s="1049">
        <v>667.4</v>
      </c>
      <c r="F1255" s="1049">
        <f>C1255*E1255</f>
        <v>6674</v>
      </c>
      <c r="G1255" s="100"/>
      <c r="H1255" s="100"/>
    </row>
    <row r="1256" spans="1:8" s="20" customFormat="1" hidden="1">
      <c r="A1256" s="174"/>
      <c r="B1256" s="1077" t="s">
        <v>152</v>
      </c>
      <c r="C1256" s="102"/>
      <c r="D1256" s="102"/>
      <c r="E1256" s="102"/>
      <c r="F1256" s="1049"/>
      <c r="G1256" s="100"/>
      <c r="H1256" s="100"/>
    </row>
    <row r="1257" spans="1:8" s="20" customFormat="1" hidden="1">
      <c r="A1257" s="174"/>
      <c r="B1257" s="332" t="s">
        <v>155</v>
      </c>
      <c r="C1257" s="1049" t="s">
        <v>17</v>
      </c>
      <c r="D1257" s="1049" t="s">
        <v>114</v>
      </c>
      <c r="E1257" s="1049">
        <f>Lead!E64</f>
        <v>260</v>
      </c>
      <c r="F1257" s="1049">
        <f>C1257*E1257</f>
        <v>561.6</v>
      </c>
      <c r="G1257" s="100"/>
      <c r="H1257" s="100"/>
    </row>
    <row r="1258" spans="1:8" s="20" customFormat="1" hidden="1">
      <c r="A1258" s="174"/>
      <c r="B1258" s="332" t="s">
        <v>113</v>
      </c>
      <c r="C1258" s="1049" t="s">
        <v>17</v>
      </c>
      <c r="D1258" s="1049" t="s">
        <v>114</v>
      </c>
      <c r="E1258" s="1049">
        <f>Lead!E47</f>
        <v>200</v>
      </c>
      <c r="F1258" s="1049">
        <f>C1258*E1258</f>
        <v>432</v>
      </c>
      <c r="G1258" s="100"/>
      <c r="H1258" s="100"/>
    </row>
    <row r="1259" spans="1:8" s="20" customFormat="1" hidden="1">
      <c r="A1259" s="174"/>
      <c r="B1259" s="332" t="s">
        <v>322</v>
      </c>
      <c r="C1259" s="102"/>
      <c r="D1259" s="1049" t="s">
        <v>116</v>
      </c>
      <c r="E1259" s="1049">
        <f>SUM(F1251:F1258)</f>
        <v>9453.8000000000011</v>
      </c>
      <c r="F1259" s="1049">
        <f>E1259*0.075</f>
        <v>709.03500000000008</v>
      </c>
      <c r="G1259" s="100"/>
      <c r="H1259" s="100"/>
    </row>
    <row r="1260" spans="1:8" s="20" customFormat="1" hidden="1">
      <c r="A1260" s="174"/>
      <c r="B1260" s="332" t="s">
        <v>323</v>
      </c>
      <c r="C1260" s="102"/>
      <c r="D1260" s="1049" t="s">
        <v>116</v>
      </c>
      <c r="E1260" s="1049">
        <f>SUM(F1251:F1258)</f>
        <v>9453.8000000000011</v>
      </c>
      <c r="F1260" s="1049">
        <f>E1260*0.075</f>
        <v>709.03500000000008</v>
      </c>
      <c r="G1260" s="100"/>
      <c r="H1260" s="100"/>
    </row>
    <row r="1261" spans="1:8" s="20" customFormat="1" hidden="1">
      <c r="A1261" s="174"/>
      <c r="B1261" s="1077" t="s">
        <v>124</v>
      </c>
      <c r="C1261" s="102"/>
      <c r="D1261" s="102"/>
      <c r="E1261" s="102"/>
      <c r="F1261" s="1049"/>
      <c r="G1261" s="100"/>
      <c r="H1261" s="100"/>
    </row>
    <row r="1262" spans="1:8" s="20" customFormat="1" hidden="1">
      <c r="A1262" s="174"/>
      <c r="B1262" s="332" t="s">
        <v>2</v>
      </c>
      <c r="C1262" s="1049">
        <v>180</v>
      </c>
      <c r="D1262" s="1049" t="s">
        <v>88</v>
      </c>
      <c r="E1262" s="1049">
        <v>5.26</v>
      </c>
      <c r="F1262" s="1049">
        <f>E1262/C1262*10</f>
        <v>0.29222222222222222</v>
      </c>
      <c r="G1262" s="100"/>
      <c r="H1262" s="100"/>
    </row>
    <row r="1263" spans="1:8" s="20" customFormat="1" hidden="1">
      <c r="A1263" s="174"/>
      <c r="B1263" s="332" t="s">
        <v>151</v>
      </c>
      <c r="C1263" s="1049">
        <v>0.13</v>
      </c>
      <c r="D1263" s="1049" t="s">
        <v>123</v>
      </c>
      <c r="E1263" s="1049">
        <f>Lead!J20</f>
        <v>196.4</v>
      </c>
      <c r="F1263" s="1049">
        <f>E1263*C1263</f>
        <v>25.532</v>
      </c>
      <c r="G1263" s="100"/>
      <c r="H1263" s="100"/>
    </row>
    <row r="1264" spans="1:8" s="20" customFormat="1" hidden="1">
      <c r="A1264" s="174"/>
      <c r="B1264" s="332" t="s">
        <v>33</v>
      </c>
      <c r="C1264" s="1049">
        <f>C1251+C1253+C1254</f>
        <v>2.7370000000000001</v>
      </c>
      <c r="D1264" s="1049" t="s">
        <v>127</v>
      </c>
      <c r="E1264" s="1049">
        <f>Lead!J29</f>
        <v>16.899999999999999</v>
      </c>
      <c r="F1264" s="1049">
        <f>(E1264*C1264)</f>
        <v>46.255299999999998</v>
      </c>
      <c r="G1264" s="100"/>
      <c r="H1264" s="100"/>
    </row>
    <row r="1265" spans="1:10" s="20" customFormat="1" hidden="1">
      <c r="A1265" s="174"/>
      <c r="B1265" s="332" t="s">
        <v>117</v>
      </c>
      <c r="C1265" s="102"/>
      <c r="D1265" s="102"/>
      <c r="E1265" s="102"/>
      <c r="F1265" s="1049">
        <f>SUM(F1251:F1264)</f>
        <v>10943.949522222223</v>
      </c>
      <c r="G1265" s="100"/>
      <c r="H1265" s="100"/>
    </row>
    <row r="1266" spans="1:10" s="20" customFormat="1" hidden="1">
      <c r="A1266" s="174"/>
      <c r="B1266" s="332" t="s">
        <v>60</v>
      </c>
      <c r="C1266" s="102"/>
      <c r="D1266" s="102"/>
      <c r="E1266" s="102"/>
      <c r="F1266" s="1049">
        <f>F1265/10</f>
        <v>1094.3949522222224</v>
      </c>
      <c r="G1266" s="100"/>
      <c r="H1266" s="100"/>
    </row>
    <row r="1267" spans="1:10" s="20" customFormat="1" hidden="1">
      <c r="A1267" s="174"/>
      <c r="B1267" s="1056"/>
      <c r="C1267" s="1058"/>
      <c r="D1267" s="1058"/>
      <c r="E1267" s="1058" t="s">
        <v>120</v>
      </c>
      <c r="F1267" s="1058">
        <f>ROUND(F1266,1)</f>
        <v>1094.4000000000001</v>
      </c>
      <c r="G1267" s="100"/>
      <c r="H1267" s="100"/>
    </row>
    <row r="1268" spans="1:10" s="149" customFormat="1" hidden="1">
      <c r="A1268" s="164"/>
      <c r="B1268" s="164"/>
      <c r="C1268" s="165"/>
      <c r="D1268" s="165"/>
      <c r="E1268" s="165"/>
      <c r="F1268" s="165"/>
      <c r="G1268" s="165"/>
      <c r="H1268" s="165"/>
      <c r="I1268" s="121"/>
      <c r="J1268" s="121"/>
    </row>
    <row r="1269" spans="1:10" s="164" customFormat="1" ht="25.5" hidden="1">
      <c r="A1269" s="101">
        <v>42</v>
      </c>
      <c r="B1269" s="460" t="s">
        <v>465</v>
      </c>
      <c r="C1269" s="834"/>
      <c r="D1269" s="834"/>
      <c r="E1269" s="834"/>
      <c r="F1269" s="834"/>
      <c r="G1269" s="817"/>
      <c r="H1269" s="817"/>
      <c r="I1269" s="147"/>
      <c r="J1269" s="165"/>
    </row>
    <row r="1270" spans="1:10" s="164" customFormat="1" hidden="1">
      <c r="B1270" s="414" t="s">
        <v>1085</v>
      </c>
      <c r="C1270" s="815"/>
      <c r="D1270" s="815"/>
      <c r="E1270" s="815"/>
      <c r="F1270" s="815"/>
      <c r="G1270" s="817"/>
      <c r="H1270" s="817"/>
      <c r="I1270" s="147"/>
      <c r="J1270" s="165"/>
    </row>
    <row r="1271" spans="1:10" s="164" customFormat="1" hidden="1">
      <c r="B1271" s="147" t="s">
        <v>1086</v>
      </c>
      <c r="C1271" s="816"/>
      <c r="D1271" s="817"/>
      <c r="E1271" s="818"/>
      <c r="F1271" s="818"/>
      <c r="G1271" s="817"/>
      <c r="H1271" s="817"/>
      <c r="I1271" s="147"/>
      <c r="J1271" s="165"/>
    </row>
    <row r="1272" spans="1:10" s="164" customFormat="1" hidden="1">
      <c r="B1272" s="147" t="s">
        <v>1087</v>
      </c>
      <c r="C1272" s="816"/>
      <c r="D1272" s="817"/>
      <c r="E1272" s="818"/>
      <c r="F1272" s="818"/>
      <c r="G1272" s="817"/>
      <c r="H1272" s="817"/>
      <c r="I1272" s="147"/>
      <c r="J1272" s="165"/>
    </row>
    <row r="1273" spans="1:10" s="164" customFormat="1" hidden="1">
      <c r="B1273" s="147" t="s">
        <v>1088</v>
      </c>
      <c r="C1273" s="816">
        <v>1</v>
      </c>
      <c r="D1273" s="817" t="s">
        <v>165</v>
      </c>
      <c r="E1273" s="818">
        <v>217</v>
      </c>
      <c r="F1273" s="818">
        <f>E1273*C1273</f>
        <v>217</v>
      </c>
      <c r="G1273" s="817"/>
      <c r="H1273" s="817"/>
      <c r="I1273" s="147"/>
      <c r="J1273" s="165"/>
    </row>
    <row r="1274" spans="1:10" s="164" customFormat="1" hidden="1">
      <c r="B1274" s="147" t="s">
        <v>104</v>
      </c>
      <c r="C1274" s="819">
        <v>1.2999999999999999E-2</v>
      </c>
      <c r="D1274" s="817" t="s">
        <v>297</v>
      </c>
      <c r="E1274" s="818">
        <f>Lead!E20</f>
        <v>55</v>
      </c>
      <c r="F1274" s="818">
        <f>C1274*E1274</f>
        <v>0.71499999999999997</v>
      </c>
      <c r="G1274" s="817"/>
      <c r="H1274" s="817"/>
      <c r="I1274" s="147"/>
      <c r="J1274" s="165"/>
    </row>
    <row r="1275" spans="1:10" s="164" customFormat="1" hidden="1">
      <c r="B1275" s="147" t="s">
        <v>1089</v>
      </c>
      <c r="C1275" s="820">
        <v>0.1857</v>
      </c>
      <c r="D1275" s="817" t="s">
        <v>1090</v>
      </c>
      <c r="E1275" s="818">
        <f>Lead!E29</f>
        <v>650</v>
      </c>
      <c r="F1275" s="818">
        <f>C1275*E1275</f>
        <v>120.705</v>
      </c>
      <c r="G1275" s="817"/>
      <c r="H1275" s="817"/>
      <c r="I1275" s="147"/>
      <c r="J1275" s="165"/>
    </row>
    <row r="1276" spans="1:10" s="164" customFormat="1" hidden="1">
      <c r="B1276" s="147" t="s">
        <v>1091</v>
      </c>
      <c r="C1276" s="819">
        <v>8.7999999999999995E-2</v>
      </c>
      <c r="D1276" s="817" t="s">
        <v>1090</v>
      </c>
      <c r="E1276" s="818">
        <f>E1275</f>
        <v>650</v>
      </c>
      <c r="F1276" s="818">
        <f>C1276*E1276</f>
        <v>57.199999999999996</v>
      </c>
      <c r="G1276" s="817"/>
      <c r="H1276" s="817"/>
      <c r="I1276" s="147"/>
      <c r="J1276" s="165"/>
    </row>
    <row r="1277" spans="1:10" s="164" customFormat="1" hidden="1">
      <c r="B1277" s="147"/>
      <c r="C1277" s="816"/>
      <c r="D1277" s="817"/>
      <c r="E1277" s="818" t="s">
        <v>117</v>
      </c>
      <c r="F1277" s="818">
        <f>F1273+F1274+F1275+F1276</f>
        <v>395.62</v>
      </c>
      <c r="G1277" s="817"/>
      <c r="H1277" s="817"/>
      <c r="I1277" s="147"/>
      <c r="J1277" s="165"/>
    </row>
    <row r="1278" spans="1:10" s="164" customFormat="1" hidden="1">
      <c r="B1278" s="147" t="s">
        <v>1092</v>
      </c>
      <c r="C1278" s="816"/>
      <c r="D1278" s="817"/>
      <c r="E1278" s="818"/>
      <c r="F1278" s="818"/>
      <c r="G1278" s="817"/>
      <c r="H1278" s="817"/>
      <c r="I1278" s="147"/>
      <c r="J1278" s="165"/>
    </row>
    <row r="1279" spans="1:10" s="164" customFormat="1" hidden="1">
      <c r="B1279" s="147" t="s">
        <v>1093</v>
      </c>
      <c r="C1279" s="819">
        <v>0.216</v>
      </c>
      <c r="D1279" s="817" t="s">
        <v>1094</v>
      </c>
      <c r="E1279" s="818">
        <f>Lead!E64</f>
        <v>260</v>
      </c>
      <c r="F1279" s="818">
        <f>C1279*E1279</f>
        <v>56.16</v>
      </c>
      <c r="G1279" s="817"/>
      <c r="H1279" s="817"/>
      <c r="I1279" s="147"/>
      <c r="J1279" s="165"/>
    </row>
    <row r="1280" spans="1:10" s="164" customFormat="1" hidden="1">
      <c r="B1280" s="147" t="s">
        <v>1095</v>
      </c>
      <c r="C1280" s="819">
        <v>0.55000000000000004</v>
      </c>
      <c r="D1280" s="817" t="s">
        <v>1094</v>
      </c>
      <c r="E1280" s="818">
        <f>Lead!E54</f>
        <v>220</v>
      </c>
      <c r="F1280" s="818">
        <f>C1280*E1280</f>
        <v>121.00000000000001</v>
      </c>
      <c r="G1280" s="817"/>
      <c r="H1280" s="817"/>
      <c r="I1280" s="147"/>
      <c r="J1280" s="165"/>
    </row>
    <row r="1281" spans="2:10" s="164" customFormat="1" hidden="1">
      <c r="B1281" s="147" t="s">
        <v>1096</v>
      </c>
      <c r="C1281" s="819">
        <v>0.216</v>
      </c>
      <c r="D1281" s="817" t="s">
        <v>1094</v>
      </c>
      <c r="E1281" s="818">
        <f>Lead!E47</f>
        <v>200</v>
      </c>
      <c r="F1281" s="818">
        <f>C1281*E1281</f>
        <v>43.2</v>
      </c>
      <c r="G1281" s="817"/>
      <c r="H1281" s="817"/>
      <c r="I1281" s="147"/>
      <c r="J1281" s="165"/>
    </row>
    <row r="1282" spans="2:10" s="164" customFormat="1" hidden="1">
      <c r="B1282" s="147"/>
      <c r="C1282" s="816"/>
      <c r="D1282" s="817"/>
      <c r="E1282" s="818" t="s">
        <v>117</v>
      </c>
      <c r="F1282" s="818">
        <f>SUM(F1279:F1281)</f>
        <v>220.36</v>
      </c>
      <c r="G1282" s="817"/>
      <c r="H1282" s="817"/>
      <c r="I1282" s="147"/>
      <c r="J1282" s="165"/>
    </row>
    <row r="1283" spans="2:10" s="164" customFormat="1" hidden="1">
      <c r="B1283" s="147" t="s">
        <v>1097</v>
      </c>
      <c r="C1283" s="816"/>
      <c r="D1283" s="817"/>
      <c r="E1283" s="818"/>
      <c r="F1283" s="818">
        <f>SUM(F1277+F1282)*0.075</f>
        <v>46.198500000000003</v>
      </c>
      <c r="G1283" s="817"/>
      <c r="H1283" s="817"/>
      <c r="I1283" s="147"/>
      <c r="J1283" s="165"/>
    </row>
    <row r="1284" spans="2:10" s="164" customFormat="1" hidden="1">
      <c r="B1284" s="147" t="s">
        <v>1098</v>
      </c>
      <c r="C1284" s="816"/>
      <c r="D1284" s="817"/>
      <c r="E1284" s="818"/>
      <c r="F1284" s="818">
        <f>SUM(F1277+F1282)*0.075</f>
        <v>46.198500000000003</v>
      </c>
      <c r="G1284" s="817"/>
      <c r="H1284" s="817"/>
      <c r="I1284" s="147"/>
      <c r="J1284" s="165"/>
    </row>
    <row r="1285" spans="2:10" s="164" customFormat="1" hidden="1">
      <c r="B1285" s="147"/>
      <c r="C1285" s="816"/>
      <c r="D1285" s="817"/>
      <c r="E1285" s="818" t="s">
        <v>117</v>
      </c>
      <c r="F1285" s="818">
        <f>F1277+F1282+F1283+F1284</f>
        <v>708.37699999999995</v>
      </c>
      <c r="G1285" s="817"/>
      <c r="H1285" s="817"/>
      <c r="I1285" s="147"/>
      <c r="J1285" s="165"/>
    </row>
    <row r="1286" spans="2:10" s="164" customFormat="1" hidden="1">
      <c r="B1286" s="414" t="s">
        <v>1099</v>
      </c>
      <c r="C1286" s="816"/>
      <c r="D1286" s="817"/>
      <c r="E1286" s="818"/>
      <c r="F1286" s="818"/>
      <c r="G1286" s="817"/>
      <c r="H1286" s="817"/>
      <c r="I1286" s="147"/>
      <c r="J1286" s="165"/>
    </row>
    <row r="1287" spans="2:10" s="164" customFormat="1" hidden="1">
      <c r="B1287" s="147" t="s">
        <v>1100</v>
      </c>
      <c r="C1287" s="816">
        <v>1</v>
      </c>
      <c r="D1287" s="817" t="s">
        <v>165</v>
      </c>
      <c r="E1287" s="818">
        <f>E1262</f>
        <v>5.26</v>
      </c>
      <c r="F1287" s="818">
        <f>E1287*C1287</f>
        <v>5.26</v>
      </c>
      <c r="G1287" s="817"/>
      <c r="H1287" s="817"/>
      <c r="I1287" s="147"/>
      <c r="J1287" s="165"/>
    </row>
    <row r="1288" spans="2:10" s="164" customFormat="1" hidden="1">
      <c r="B1288" s="147" t="s">
        <v>104</v>
      </c>
      <c r="C1288" s="819">
        <v>1.2999999999999999E-2</v>
      </c>
      <c r="D1288" s="817" t="s">
        <v>297</v>
      </c>
      <c r="E1288" s="818">
        <f>Lead!J20</f>
        <v>196.4</v>
      </c>
      <c r="F1288" s="818">
        <f>SUM(C1288*E1288)</f>
        <v>2.5531999999999999</v>
      </c>
      <c r="G1288" s="817"/>
      <c r="H1288" s="817"/>
      <c r="I1288" s="147"/>
      <c r="J1288" s="165"/>
    </row>
    <row r="1289" spans="2:10" s="164" customFormat="1" hidden="1">
      <c r="B1289" s="147" t="s">
        <v>1089</v>
      </c>
      <c r="C1289" s="820">
        <v>0.1857</v>
      </c>
      <c r="D1289" s="817" t="s">
        <v>1090</v>
      </c>
      <c r="E1289" s="818">
        <f>Lead!J29</f>
        <v>16.899999999999999</v>
      </c>
      <c r="F1289" s="818">
        <f>SUM(C1289*E1289)</f>
        <v>3.1383299999999998</v>
      </c>
      <c r="G1289" s="817"/>
      <c r="H1289" s="817"/>
      <c r="I1289" s="147"/>
      <c r="J1289" s="165"/>
    </row>
    <row r="1290" spans="2:10" s="164" customFormat="1" hidden="1">
      <c r="B1290" s="147" t="s">
        <v>1091</v>
      </c>
      <c r="C1290" s="819">
        <v>8.7999999999999995E-2</v>
      </c>
      <c r="D1290" s="817" t="s">
        <v>1101</v>
      </c>
      <c r="E1290" s="818">
        <f>E1289</f>
        <v>16.899999999999999</v>
      </c>
      <c r="F1290" s="818">
        <f>SUM(C1290*E1290)</f>
        <v>1.4871999999999999</v>
      </c>
      <c r="G1290" s="817"/>
      <c r="H1290" s="817"/>
      <c r="I1290" s="147"/>
      <c r="J1290" s="165"/>
    </row>
    <row r="1291" spans="2:10" s="164" customFormat="1" hidden="1">
      <c r="B1291" s="147"/>
      <c r="C1291" s="816"/>
      <c r="D1291" s="817"/>
      <c r="E1291" s="818" t="s">
        <v>117</v>
      </c>
      <c r="F1291" s="818">
        <f>F1287+F1288+F1289+F1290</f>
        <v>12.43873</v>
      </c>
      <c r="G1291" s="817"/>
      <c r="H1291" s="817"/>
      <c r="I1291" s="147"/>
      <c r="J1291" s="165"/>
    </row>
    <row r="1292" spans="2:10" s="164" customFormat="1" hidden="1">
      <c r="B1292" s="147" t="s">
        <v>337</v>
      </c>
      <c r="C1292" s="816"/>
      <c r="D1292" s="817"/>
      <c r="E1292" s="818" t="s">
        <v>117</v>
      </c>
      <c r="F1292" s="822">
        <f>SUM(F1285+F1291)</f>
        <v>720.81572999999992</v>
      </c>
      <c r="G1292" s="817"/>
      <c r="H1292" s="817"/>
      <c r="I1292" s="147"/>
      <c r="J1292" s="165"/>
    </row>
    <row r="1293" spans="2:10" s="164" customFormat="1" hidden="1">
      <c r="B1293" s="147" t="s">
        <v>457</v>
      </c>
      <c r="C1293" s="816"/>
      <c r="D1293" s="817"/>
      <c r="E1293" s="818"/>
      <c r="F1293" s="818">
        <f>F1292*0.01</f>
        <v>7.208157299999999</v>
      </c>
      <c r="G1293" s="817"/>
      <c r="H1293" s="817"/>
      <c r="I1293" s="147"/>
      <c r="J1293" s="165"/>
    </row>
    <row r="1294" spans="2:10" s="164" customFormat="1" hidden="1">
      <c r="B1294" s="147"/>
      <c r="C1294" s="816"/>
      <c r="D1294" s="817"/>
      <c r="E1294" s="818" t="s">
        <v>1102</v>
      </c>
      <c r="F1294" s="818">
        <f>F1292+F1293</f>
        <v>728.02388729999996</v>
      </c>
      <c r="G1294" s="817"/>
      <c r="H1294" s="817"/>
      <c r="I1294" s="147"/>
      <c r="J1294" s="165"/>
    </row>
    <row r="1295" spans="2:10" s="164" customFormat="1" hidden="1">
      <c r="B1295" s="147"/>
      <c r="C1295" s="816"/>
      <c r="D1295" s="817"/>
      <c r="E1295" s="818" t="s">
        <v>120</v>
      </c>
      <c r="F1295" s="822">
        <f>ROUND(F1294,1)</f>
        <v>728</v>
      </c>
      <c r="G1295" s="817"/>
      <c r="H1295" s="817"/>
      <c r="I1295" s="147"/>
      <c r="J1295" s="165"/>
    </row>
    <row r="1296" spans="2:10" s="164" customFormat="1" hidden="1">
      <c r="C1296" s="165"/>
      <c r="D1296" s="165"/>
      <c r="E1296" s="165"/>
      <c r="F1296" s="165"/>
      <c r="G1296" s="165"/>
      <c r="H1296" s="165"/>
      <c r="I1296" s="165"/>
      <c r="J1296" s="165"/>
    </row>
    <row r="1297" spans="1:10" s="20" customFormat="1" ht="38.25" hidden="1" customHeight="1">
      <c r="A1297" s="100">
        <v>36</v>
      </c>
      <c r="B1297" s="460" t="s">
        <v>328</v>
      </c>
      <c r="C1297" s="102" t="s">
        <v>165</v>
      </c>
      <c r="D1297" s="102"/>
      <c r="E1297" s="102"/>
      <c r="F1297" s="102"/>
      <c r="G1297" s="100"/>
      <c r="H1297" s="100"/>
      <c r="I1297" s="4"/>
      <c r="J1297" s="4"/>
    </row>
    <row r="1298" spans="1:10" s="9" customFormat="1" ht="12.75" hidden="1" customHeight="1">
      <c r="A1298" s="171"/>
      <c r="B1298" s="1078" t="s">
        <v>70</v>
      </c>
      <c r="C1298" s="102"/>
      <c r="D1298" s="102"/>
      <c r="E1298" s="102"/>
      <c r="F1298" s="102"/>
      <c r="G1298" s="100"/>
      <c r="H1298" s="100"/>
      <c r="I1298" s="8"/>
      <c r="J1298" s="8"/>
    </row>
    <row r="1299" spans="1:10" s="9" customFormat="1" ht="12.75" hidden="1" customHeight="1">
      <c r="A1299" s="171"/>
      <c r="B1299" s="156" t="s">
        <v>46</v>
      </c>
      <c r="C1299" s="102"/>
      <c r="D1299" s="102"/>
      <c r="E1299" s="102"/>
      <c r="F1299" s="102"/>
      <c r="G1299" s="100"/>
      <c r="H1299" s="100"/>
      <c r="I1299" s="8"/>
      <c r="J1299" s="8"/>
    </row>
    <row r="1300" spans="1:10" s="9" customFormat="1" ht="12.75" hidden="1" customHeight="1">
      <c r="A1300" s="171"/>
      <c r="B1300" s="156" t="s">
        <v>5</v>
      </c>
      <c r="C1300" s="102"/>
      <c r="D1300" s="102"/>
      <c r="E1300" s="102"/>
      <c r="F1300" s="102"/>
      <c r="G1300" s="100"/>
      <c r="H1300" s="100"/>
      <c r="I1300" s="8"/>
      <c r="J1300" s="8"/>
    </row>
    <row r="1301" spans="1:10" s="9" customFormat="1" ht="12.75" hidden="1" customHeight="1">
      <c r="A1301" s="171"/>
      <c r="B1301" s="156" t="s">
        <v>47</v>
      </c>
      <c r="C1301" s="102">
        <v>0.54</v>
      </c>
      <c r="D1301" s="102" t="s">
        <v>114</v>
      </c>
      <c r="E1301" s="102">
        <f>Lead!J66</f>
        <v>260</v>
      </c>
      <c r="F1301" s="102">
        <f>E1301*C1301</f>
        <v>140.4</v>
      </c>
      <c r="G1301" s="100"/>
      <c r="H1301" s="100"/>
      <c r="I1301" s="8"/>
      <c r="J1301" s="8"/>
    </row>
    <row r="1302" spans="1:10" s="9" customFormat="1" ht="12.75" hidden="1" customHeight="1">
      <c r="A1302" s="171"/>
      <c r="B1302" s="156" t="s">
        <v>48</v>
      </c>
      <c r="C1302" s="102" t="s">
        <v>49</v>
      </c>
      <c r="D1302" s="102" t="s">
        <v>114</v>
      </c>
      <c r="E1302" s="102">
        <f>Lead!E47</f>
        <v>200</v>
      </c>
      <c r="F1302" s="102">
        <f>E1302*C1302</f>
        <v>20</v>
      </c>
      <c r="G1302" s="100"/>
      <c r="H1302" s="100"/>
      <c r="I1302" s="8"/>
      <c r="J1302" s="8"/>
    </row>
    <row r="1303" spans="1:10" s="9" customFormat="1" ht="12.75" hidden="1" customHeight="1">
      <c r="A1303" s="171"/>
      <c r="B1303" s="156" t="s">
        <v>113</v>
      </c>
      <c r="C1303" s="102">
        <v>0.54</v>
      </c>
      <c r="D1303" s="102" t="s">
        <v>114</v>
      </c>
      <c r="E1303" s="102">
        <f>Lead!E47</f>
        <v>200</v>
      </c>
      <c r="F1303" s="102">
        <f>E1303*C1303</f>
        <v>108</v>
      </c>
      <c r="G1303" s="100"/>
      <c r="H1303" s="100"/>
      <c r="I1303" s="8"/>
      <c r="J1303" s="8"/>
    </row>
    <row r="1304" spans="1:10" s="9" customFormat="1" ht="12.75" hidden="1" customHeight="1">
      <c r="A1304" s="171"/>
      <c r="B1304" s="156"/>
      <c r="C1304" s="102"/>
      <c r="D1304" s="102"/>
      <c r="E1304" s="102"/>
      <c r="F1304" s="102">
        <f>SUM(F1301:F1303)</f>
        <v>268.39999999999998</v>
      </c>
      <c r="G1304" s="100"/>
      <c r="H1304" s="100"/>
      <c r="I1304" s="8"/>
      <c r="J1304" s="8"/>
    </row>
    <row r="1305" spans="1:10" s="9" customFormat="1" ht="12.75" hidden="1" customHeight="1">
      <c r="A1305" s="171"/>
      <c r="B1305" s="156" t="s">
        <v>322</v>
      </c>
      <c r="C1305" s="102"/>
      <c r="D1305" s="102"/>
      <c r="E1305" s="102"/>
      <c r="F1305" s="102">
        <f>F1304*7.5%</f>
        <v>20.13</v>
      </c>
      <c r="G1305" s="100"/>
      <c r="H1305" s="100"/>
      <c r="I1305" s="8"/>
      <c r="J1305" s="8"/>
    </row>
    <row r="1306" spans="1:10" s="9" customFormat="1" ht="12.75" hidden="1" customHeight="1">
      <c r="A1306" s="171"/>
      <c r="B1306" s="156" t="s">
        <v>323</v>
      </c>
      <c r="C1306" s="102"/>
      <c r="D1306" s="102"/>
      <c r="E1306" s="102"/>
      <c r="F1306" s="102">
        <f>F1304*7.5%</f>
        <v>20.13</v>
      </c>
      <c r="G1306" s="100"/>
      <c r="H1306" s="100"/>
      <c r="I1306" s="8"/>
      <c r="J1306" s="8"/>
    </row>
    <row r="1307" spans="1:10" s="9" customFormat="1" ht="12.75" hidden="1" customHeight="1">
      <c r="A1307" s="171"/>
      <c r="B1307" s="156" t="s">
        <v>8</v>
      </c>
      <c r="C1307" s="102">
        <v>1.25</v>
      </c>
      <c r="D1307" s="102" t="s">
        <v>9</v>
      </c>
      <c r="E1307" s="102">
        <v>175</v>
      </c>
      <c r="F1307" s="102">
        <f>C1307*E1307</f>
        <v>218.75</v>
      </c>
      <c r="G1307" s="100"/>
      <c r="H1307" s="100"/>
      <c r="I1307" s="8"/>
      <c r="J1307" s="8"/>
    </row>
    <row r="1308" spans="1:10" s="9" customFormat="1" ht="12.75" hidden="1" customHeight="1">
      <c r="A1308" s="171"/>
      <c r="B1308" s="156" t="s">
        <v>117</v>
      </c>
      <c r="C1308" s="102"/>
      <c r="D1308" s="102"/>
      <c r="E1308" s="102"/>
      <c r="F1308" s="102">
        <f>SUM(F1304:F1307)</f>
        <v>527.41</v>
      </c>
      <c r="G1308" s="100"/>
      <c r="H1308" s="100"/>
      <c r="I1308" s="8"/>
      <c r="J1308" s="8"/>
    </row>
    <row r="1309" spans="1:10" s="9" customFormat="1" ht="12.75" hidden="1" customHeight="1">
      <c r="A1309" s="171"/>
      <c r="B1309" s="156" t="s">
        <v>50</v>
      </c>
      <c r="C1309" s="102"/>
      <c r="D1309" s="102"/>
      <c r="E1309" s="102"/>
      <c r="F1309" s="102">
        <f>F1308/10</f>
        <v>52.741</v>
      </c>
      <c r="G1309" s="100"/>
      <c r="H1309" s="100"/>
      <c r="I1309" s="8"/>
      <c r="J1309" s="8"/>
    </row>
    <row r="1310" spans="1:10" s="9" customFormat="1" ht="12.75" hidden="1" customHeight="1">
      <c r="A1310" s="171"/>
      <c r="B1310" s="617" t="s">
        <v>530</v>
      </c>
      <c r="C1310" s="102"/>
      <c r="D1310" s="102"/>
      <c r="E1310" s="102"/>
      <c r="F1310" s="102">
        <f>F1309*0.01</f>
        <v>0.52741000000000005</v>
      </c>
      <c r="G1310" s="100"/>
      <c r="H1310" s="100"/>
      <c r="I1310" s="8"/>
      <c r="J1310" s="8"/>
    </row>
    <row r="1311" spans="1:10" s="9" customFormat="1" ht="12.75" hidden="1" customHeight="1">
      <c r="A1311" s="171"/>
      <c r="B1311" s="617" t="s">
        <v>117</v>
      </c>
      <c r="C1311" s="102"/>
      <c r="D1311" s="102"/>
      <c r="E1311" s="102"/>
      <c r="F1311" s="102">
        <f>SUM(F1309:F1310)</f>
        <v>53.268410000000003</v>
      </c>
      <c r="G1311" s="100"/>
      <c r="H1311" s="100"/>
      <c r="I1311" s="8"/>
      <c r="J1311" s="8"/>
    </row>
    <row r="1312" spans="1:10" s="9" customFormat="1" ht="12.75" hidden="1" customHeight="1">
      <c r="A1312" s="171"/>
      <c r="B1312" s="1078"/>
      <c r="C1312" s="364"/>
      <c r="D1312" s="626"/>
      <c r="E1312" s="364" t="s">
        <v>120</v>
      </c>
      <c r="F1312" s="364">
        <f>ROUND(F1311,1)</f>
        <v>53.3</v>
      </c>
      <c r="G1312" s="100"/>
      <c r="H1312" s="100"/>
      <c r="I1312" s="8"/>
      <c r="J1312" s="8"/>
    </row>
    <row r="1313" spans="1:10" s="9" customFormat="1" ht="12.75" hidden="1" customHeight="1">
      <c r="A1313" s="171"/>
      <c r="B1313" s="171"/>
      <c r="C1313" s="100"/>
      <c r="D1313" s="100"/>
      <c r="E1313" s="100"/>
      <c r="F1313" s="100"/>
      <c r="G1313" s="100"/>
      <c r="H1313" s="100"/>
      <c r="I1313" s="8"/>
      <c r="J1313" s="8"/>
    </row>
    <row r="1314" spans="1:10" s="9" customFormat="1" ht="12.75" hidden="1" customHeight="1">
      <c r="A1314" s="171"/>
      <c r="B1314" s="1082" t="s">
        <v>10</v>
      </c>
      <c r="C1314" s="100"/>
      <c r="D1314" s="100"/>
      <c r="E1314" s="100"/>
      <c r="F1314" s="100"/>
      <c r="G1314" s="100"/>
      <c r="H1314" s="100"/>
      <c r="I1314" s="8"/>
      <c r="J1314" s="8"/>
    </row>
    <row r="1315" spans="1:10" s="9" customFormat="1" ht="12.75" hidden="1" customHeight="1">
      <c r="A1315" s="171"/>
      <c r="B1315" s="339" t="s">
        <v>11</v>
      </c>
      <c r="C1315" s="100"/>
      <c r="D1315" s="100"/>
      <c r="E1315" s="100"/>
      <c r="F1315" s="100"/>
      <c r="G1315" s="100"/>
      <c r="H1315" s="100"/>
      <c r="I1315" s="8"/>
      <c r="J1315" s="8"/>
    </row>
    <row r="1316" spans="1:10" s="9" customFormat="1" ht="12.75" hidden="1" customHeight="1">
      <c r="A1316" s="171"/>
      <c r="B1316" s="339" t="s">
        <v>6</v>
      </c>
      <c r="C1316" s="100">
        <v>0.5</v>
      </c>
      <c r="D1316" s="100" t="s">
        <v>114</v>
      </c>
      <c r="E1316" s="102">
        <f>Lead!J66</f>
        <v>260</v>
      </c>
      <c r="F1316" s="102">
        <f>E1316*C1316</f>
        <v>130</v>
      </c>
      <c r="G1316" s="100"/>
      <c r="H1316" s="100"/>
      <c r="I1316" s="8"/>
      <c r="J1316" s="8"/>
    </row>
    <row r="1317" spans="1:10" s="9" customFormat="1" ht="12.75" hidden="1" customHeight="1">
      <c r="A1317" s="171"/>
      <c r="B1317" s="339" t="s">
        <v>27</v>
      </c>
      <c r="C1317" s="100">
        <v>0.5</v>
      </c>
      <c r="D1317" s="100" t="s">
        <v>114</v>
      </c>
      <c r="E1317" s="102">
        <f>Lead!E47</f>
        <v>200</v>
      </c>
      <c r="F1317" s="102">
        <f>E1317*C1317</f>
        <v>100</v>
      </c>
      <c r="G1317" s="100"/>
      <c r="H1317" s="100"/>
      <c r="I1317" s="8"/>
      <c r="J1317" s="8"/>
    </row>
    <row r="1318" spans="1:10" s="9" customFormat="1" ht="12.75" hidden="1" customHeight="1">
      <c r="A1318" s="171"/>
      <c r="B1318" s="156" t="s">
        <v>322</v>
      </c>
      <c r="C1318" s="100"/>
      <c r="D1318" s="100" t="s">
        <v>116</v>
      </c>
      <c r="E1318" s="250">
        <f>SUM(F1316:F1317)</f>
        <v>230</v>
      </c>
      <c r="F1318" s="250">
        <f>E1318*7.5%</f>
        <v>17.25</v>
      </c>
      <c r="G1318" s="100"/>
      <c r="H1318" s="100"/>
      <c r="I1318" s="8"/>
      <c r="J1318" s="8"/>
    </row>
    <row r="1319" spans="1:10" s="9" customFormat="1" ht="12.75" hidden="1" customHeight="1">
      <c r="A1319" s="171"/>
      <c r="B1319" s="156" t="s">
        <v>323</v>
      </c>
      <c r="C1319" s="100"/>
      <c r="D1319" s="100"/>
      <c r="E1319" s="250"/>
      <c r="F1319" s="250">
        <f>F1318</f>
        <v>17.25</v>
      </c>
      <c r="G1319" s="100"/>
      <c r="H1319" s="100"/>
      <c r="I1319" s="8"/>
      <c r="J1319" s="8"/>
    </row>
    <row r="1320" spans="1:10" s="9" customFormat="1" ht="12.75" hidden="1" customHeight="1">
      <c r="A1320" s="171"/>
      <c r="B1320" s="339" t="s">
        <v>117</v>
      </c>
      <c r="C1320" s="100"/>
      <c r="D1320" s="100"/>
      <c r="E1320" s="100"/>
      <c r="F1320" s="102">
        <f>SUM(F1316:F1319)</f>
        <v>264.5</v>
      </c>
      <c r="G1320" s="100"/>
      <c r="H1320" s="100"/>
      <c r="I1320" s="8"/>
      <c r="J1320" s="8"/>
    </row>
    <row r="1321" spans="1:10" s="9" customFormat="1" ht="12.75" hidden="1" customHeight="1">
      <c r="A1321" s="171"/>
      <c r="B1321" s="339" t="s">
        <v>12</v>
      </c>
      <c r="C1321" s="100">
        <v>0.78120000000000001</v>
      </c>
      <c r="D1321" s="100" t="s">
        <v>9</v>
      </c>
      <c r="E1321" s="100">
        <v>145</v>
      </c>
      <c r="F1321" s="102">
        <f>E1321*C1321</f>
        <v>113.274</v>
      </c>
      <c r="G1321" s="100"/>
      <c r="H1321" s="100"/>
      <c r="I1321" s="8"/>
      <c r="J1321" s="8"/>
    </row>
    <row r="1322" spans="1:10" s="9" customFormat="1" ht="12.75" hidden="1" customHeight="1">
      <c r="A1322" s="171"/>
      <c r="B1322" s="339" t="s">
        <v>117</v>
      </c>
      <c r="C1322" s="100"/>
      <c r="D1322" s="100"/>
      <c r="E1322" s="100"/>
      <c r="F1322" s="102">
        <f>SUM(F1320:F1321)</f>
        <v>377.774</v>
      </c>
      <c r="G1322" s="102">
        <f>F1304/10</f>
        <v>26.839999999999996</v>
      </c>
      <c r="H1322" s="100"/>
      <c r="I1322" s="8"/>
      <c r="J1322" s="8"/>
    </row>
    <row r="1323" spans="1:10" s="9" customFormat="1" ht="12.75" hidden="1" customHeight="1">
      <c r="A1323" s="171"/>
      <c r="B1323" s="339" t="s">
        <v>3</v>
      </c>
      <c r="C1323" s="100"/>
      <c r="D1323" s="100"/>
      <c r="E1323" s="100"/>
      <c r="F1323" s="102">
        <f>F1322/9.3</f>
        <v>40.62086021505376</v>
      </c>
      <c r="G1323" s="102">
        <f>(F1316+F1317)/9.3</f>
        <v>24.731182795698924</v>
      </c>
      <c r="H1323" s="100"/>
      <c r="I1323" s="8"/>
      <c r="J1323" s="8"/>
    </row>
    <row r="1324" spans="1:10" s="9" customFormat="1" ht="12.75" hidden="1" customHeight="1">
      <c r="A1324" s="171"/>
      <c r="B1324" s="617" t="s">
        <v>493</v>
      </c>
      <c r="C1324" s="100"/>
      <c r="D1324" s="100"/>
      <c r="E1324" s="100"/>
      <c r="F1324" s="250">
        <f>F1323*1%</f>
        <v>0.40620860215053761</v>
      </c>
      <c r="G1324" s="100"/>
      <c r="H1324" s="100"/>
      <c r="I1324" s="8"/>
      <c r="J1324" s="8"/>
    </row>
    <row r="1325" spans="1:10" s="9" customFormat="1" ht="12.75" hidden="1" customHeight="1">
      <c r="A1325" s="171"/>
      <c r="B1325" s="617" t="s">
        <v>117</v>
      </c>
      <c r="C1325" s="100"/>
      <c r="D1325" s="100"/>
      <c r="E1325" s="100"/>
      <c r="F1325" s="250">
        <f>F1323+F1324</f>
        <v>41.027068817204295</v>
      </c>
      <c r="G1325" s="100"/>
      <c r="H1325" s="100"/>
      <c r="I1325" s="8"/>
      <c r="J1325" s="8"/>
    </row>
    <row r="1326" spans="1:10" s="9" customFormat="1" ht="12.75" hidden="1" customHeight="1">
      <c r="A1326" s="171"/>
      <c r="B1326" s="1078"/>
      <c r="C1326" s="249"/>
      <c r="D1326" s="249"/>
      <c r="E1326" s="249" t="s">
        <v>120</v>
      </c>
      <c r="F1326" s="364">
        <f>ROUND(F1325,1)</f>
        <v>41</v>
      </c>
      <c r="G1326" s="100" t="s">
        <v>350</v>
      </c>
      <c r="H1326" s="100"/>
      <c r="I1326" s="8"/>
      <c r="J1326" s="8"/>
    </row>
    <row r="1327" spans="1:10" s="9" customFormat="1" ht="12.75" hidden="1" customHeight="1">
      <c r="A1327" s="171"/>
      <c r="B1327" s="171"/>
      <c r="C1327" s="100"/>
      <c r="D1327" s="100"/>
      <c r="E1327" s="100"/>
      <c r="F1327" s="100"/>
      <c r="G1327" s="100"/>
      <c r="H1327" s="100"/>
      <c r="I1327" s="8"/>
      <c r="J1327" s="8"/>
    </row>
    <row r="1328" spans="1:10" s="9" customFormat="1" ht="12.75" hidden="1" customHeight="1">
      <c r="A1328" s="171"/>
      <c r="B1328" s="1078" t="s">
        <v>71</v>
      </c>
      <c r="C1328" s="364"/>
      <c r="D1328" s="364"/>
      <c r="E1328" s="364"/>
      <c r="F1328" s="364"/>
      <c r="G1328" s="100"/>
      <c r="H1328" s="100"/>
      <c r="I1328" s="8"/>
      <c r="J1328" s="8"/>
    </row>
    <row r="1329" spans="1:10" s="9" customFormat="1" ht="12.75" hidden="1" customHeight="1">
      <c r="A1329" s="171"/>
      <c r="B1329" s="339" t="s">
        <v>318</v>
      </c>
      <c r="C1329" s="102"/>
      <c r="D1329" s="102"/>
      <c r="E1329" s="102"/>
      <c r="F1329" s="102">
        <f>F1323+F1309</f>
        <v>93.361860215053753</v>
      </c>
      <c r="G1329" s="100"/>
      <c r="H1329" s="100"/>
      <c r="I1329" s="8"/>
      <c r="J1329" s="8"/>
    </row>
    <row r="1330" spans="1:10" s="9" customFormat="1" ht="12.75" hidden="1" customHeight="1">
      <c r="A1330" s="171"/>
      <c r="B1330" s="763" t="s">
        <v>281</v>
      </c>
      <c r="C1330" s="102"/>
      <c r="D1330" s="102"/>
      <c r="E1330" s="102">
        <f>G1323+G1322</f>
        <v>51.571182795698917</v>
      </c>
      <c r="F1330" s="102">
        <f>E1330*0.03</f>
        <v>1.5471354838709674</v>
      </c>
      <c r="G1330" s="100"/>
      <c r="H1330" s="100"/>
      <c r="I1330" s="8"/>
      <c r="J1330" s="8"/>
    </row>
    <row r="1331" spans="1:10" s="9" customFormat="1" ht="12.75" hidden="1" customHeight="1">
      <c r="A1331" s="171"/>
      <c r="B1331" s="156" t="s">
        <v>322</v>
      </c>
      <c r="C1331" s="102"/>
      <c r="D1331" s="102"/>
      <c r="E1331" s="102"/>
      <c r="F1331" s="102">
        <f>F1330*7.5%</f>
        <v>0.11603516129032256</v>
      </c>
      <c r="G1331" s="100"/>
      <c r="H1331" s="100"/>
      <c r="I1331" s="8"/>
      <c r="J1331" s="8"/>
    </row>
    <row r="1332" spans="1:10" s="9" customFormat="1" ht="12.75" hidden="1" customHeight="1">
      <c r="A1332" s="171"/>
      <c r="B1332" s="156" t="s">
        <v>323</v>
      </c>
      <c r="C1332" s="102"/>
      <c r="D1332" s="102"/>
      <c r="E1332" s="102"/>
      <c r="F1332" s="102">
        <f>F1331</f>
        <v>0.11603516129032256</v>
      </c>
      <c r="G1332" s="100"/>
      <c r="H1332" s="100"/>
      <c r="I1332" s="8"/>
      <c r="J1332" s="8"/>
    </row>
    <row r="1333" spans="1:10" s="9" customFormat="1" ht="12.75" hidden="1" customHeight="1">
      <c r="A1333" s="171"/>
      <c r="B1333" s="763"/>
      <c r="C1333" s="102"/>
      <c r="D1333" s="102"/>
      <c r="E1333" s="102"/>
      <c r="F1333" s="102">
        <f>SUM(F1329:F1332)</f>
        <v>95.141066021505381</v>
      </c>
      <c r="G1333" s="100"/>
      <c r="H1333" s="100"/>
      <c r="I1333" s="8"/>
      <c r="J1333" s="8"/>
    </row>
    <row r="1334" spans="1:10" s="9" customFormat="1" ht="12.75" hidden="1" customHeight="1">
      <c r="A1334" s="171"/>
      <c r="B1334" s="763" t="s">
        <v>1188</v>
      </c>
      <c r="C1334" s="102"/>
      <c r="D1334" s="102"/>
      <c r="E1334" s="102"/>
      <c r="F1334" s="102">
        <f>F1333*1%</f>
        <v>0.95141066021505383</v>
      </c>
      <c r="G1334" s="100"/>
      <c r="H1334" s="100"/>
      <c r="I1334" s="8"/>
      <c r="J1334" s="8"/>
    </row>
    <row r="1335" spans="1:10" s="9" customFormat="1" ht="12.75" hidden="1" customHeight="1">
      <c r="A1335" s="171"/>
      <c r="B1335" s="617" t="s">
        <v>117</v>
      </c>
      <c r="C1335" s="102"/>
      <c r="D1335" s="102"/>
      <c r="E1335" s="102"/>
      <c r="F1335" s="102">
        <f>F1334+F1333</f>
        <v>96.092476681720441</v>
      </c>
      <c r="G1335" s="100"/>
      <c r="H1335" s="100"/>
      <c r="I1335" s="8"/>
      <c r="J1335" s="8"/>
    </row>
    <row r="1336" spans="1:10" s="9" customFormat="1" ht="12.75" hidden="1" customHeight="1">
      <c r="A1336" s="171"/>
      <c r="B1336" s="1078"/>
      <c r="C1336" s="364"/>
      <c r="D1336" s="364"/>
      <c r="E1336" s="364" t="s">
        <v>120</v>
      </c>
      <c r="F1336" s="364">
        <f>ROUND(F1335,1)</f>
        <v>96.1</v>
      </c>
      <c r="G1336" s="100" t="s">
        <v>350</v>
      </c>
      <c r="H1336" s="100"/>
      <c r="I1336" s="8"/>
      <c r="J1336" s="8"/>
    </row>
    <row r="1337" spans="1:10" s="9" customFormat="1" ht="12.75" hidden="1" customHeight="1">
      <c r="A1337" s="171"/>
      <c r="B1337" s="1082" t="s">
        <v>267</v>
      </c>
      <c r="C1337" s="102"/>
      <c r="D1337" s="102"/>
      <c r="E1337" s="102"/>
      <c r="F1337" s="102"/>
      <c r="G1337" s="100"/>
      <c r="H1337" s="100"/>
      <c r="I1337" s="8"/>
      <c r="J1337" s="8"/>
    </row>
    <row r="1338" spans="1:10" s="9" customFormat="1" ht="12.75" hidden="1" customHeight="1">
      <c r="A1338" s="171"/>
      <c r="B1338" s="339" t="s">
        <v>278</v>
      </c>
      <c r="C1338" s="102"/>
      <c r="D1338" s="102"/>
      <c r="E1338" s="102"/>
      <c r="F1338" s="102">
        <f>F1333</f>
        <v>95.141066021505381</v>
      </c>
      <c r="G1338" s="100"/>
      <c r="H1338" s="100"/>
      <c r="I1338" s="8"/>
      <c r="J1338" s="8"/>
    </row>
    <row r="1339" spans="1:10" s="9" customFormat="1" ht="12.75" hidden="1" customHeight="1">
      <c r="A1339" s="171"/>
      <c r="B1339" s="763" t="s">
        <v>282</v>
      </c>
      <c r="C1339" s="102"/>
      <c r="D1339" s="102"/>
      <c r="E1339" s="102">
        <f>E1330+F1330</f>
        <v>53.118318279569884</v>
      </c>
      <c r="F1339" s="102">
        <f>E1339*0.03</f>
        <v>1.5935495483870965</v>
      </c>
      <c r="G1339" s="100"/>
      <c r="H1339" s="100"/>
      <c r="I1339" s="8"/>
      <c r="J1339" s="8"/>
    </row>
    <row r="1340" spans="1:10" s="9" customFormat="1" ht="12.75" hidden="1" customHeight="1">
      <c r="A1340" s="171"/>
      <c r="B1340" s="156" t="s">
        <v>322</v>
      </c>
      <c r="C1340" s="102"/>
      <c r="D1340" s="102"/>
      <c r="E1340" s="102"/>
      <c r="F1340" s="102">
        <f>F1339*7.5%</f>
        <v>0.11951621612903224</v>
      </c>
      <c r="G1340" s="100"/>
      <c r="H1340" s="100"/>
      <c r="I1340" s="8"/>
      <c r="J1340" s="8"/>
    </row>
    <row r="1341" spans="1:10" s="9" customFormat="1" ht="12.75" hidden="1" customHeight="1">
      <c r="A1341" s="171"/>
      <c r="B1341" s="156" t="s">
        <v>323</v>
      </c>
      <c r="C1341" s="102"/>
      <c r="D1341" s="102"/>
      <c r="E1341" s="102"/>
      <c r="F1341" s="102">
        <f>F1340</f>
        <v>0.11951621612903224</v>
      </c>
      <c r="G1341" s="100"/>
      <c r="H1341" s="100"/>
      <c r="I1341" s="8"/>
      <c r="J1341" s="8"/>
    </row>
    <row r="1342" spans="1:10" s="9" customFormat="1" ht="12.75" hidden="1" customHeight="1">
      <c r="A1342" s="171"/>
      <c r="B1342" s="156"/>
      <c r="C1342" s="102"/>
      <c r="D1342" s="102"/>
      <c r="E1342" s="102"/>
      <c r="F1342" s="102">
        <f>SUM(F1338:F1341)</f>
        <v>96.97364800215054</v>
      </c>
      <c r="G1342" s="100"/>
      <c r="H1342" s="100"/>
      <c r="I1342" s="8"/>
      <c r="J1342" s="8"/>
    </row>
    <row r="1343" spans="1:10" s="9" customFormat="1" ht="12.75" hidden="1" customHeight="1">
      <c r="A1343" s="171"/>
      <c r="B1343" s="763" t="s">
        <v>1188</v>
      </c>
      <c r="C1343" s="102"/>
      <c r="D1343" s="102"/>
      <c r="E1343" s="102"/>
      <c r="F1343" s="102">
        <f>F1342*1%</f>
        <v>0.96973648002150548</v>
      </c>
      <c r="G1343" s="100"/>
      <c r="H1343" s="100"/>
      <c r="I1343" s="8"/>
      <c r="J1343" s="8"/>
    </row>
    <row r="1344" spans="1:10" s="9" customFormat="1" ht="12.75" hidden="1" customHeight="1">
      <c r="A1344" s="171"/>
      <c r="B1344" s="617" t="s">
        <v>117</v>
      </c>
      <c r="C1344" s="102"/>
      <c r="D1344" s="102"/>
      <c r="E1344" s="102"/>
      <c r="F1344" s="102">
        <f>F1343+F1342</f>
        <v>97.94338448217205</v>
      </c>
      <c r="G1344" s="100"/>
      <c r="H1344" s="100"/>
      <c r="I1344" s="8"/>
      <c r="J1344" s="8"/>
    </row>
    <row r="1345" spans="1:12" s="9" customFormat="1" ht="12.75" hidden="1" customHeight="1">
      <c r="A1345" s="171"/>
      <c r="B1345" s="1078"/>
      <c r="C1345" s="364"/>
      <c r="D1345" s="364"/>
      <c r="E1345" s="364" t="s">
        <v>120</v>
      </c>
      <c r="F1345" s="364">
        <f>ROUND(F1344,1)</f>
        <v>97.9</v>
      </c>
      <c r="G1345" s="100" t="s">
        <v>350</v>
      </c>
      <c r="H1345" s="100"/>
      <c r="I1345" s="8"/>
      <c r="J1345" s="8"/>
    </row>
    <row r="1346" spans="1:12" s="9" customFormat="1" hidden="1">
      <c r="A1346" s="171"/>
      <c r="B1346" s="171"/>
      <c r="C1346" s="100"/>
      <c r="D1346" s="100"/>
      <c r="E1346" s="100"/>
      <c r="F1346" s="100"/>
      <c r="G1346" s="100"/>
      <c r="H1346" s="100"/>
      <c r="I1346" s="8"/>
      <c r="J1346" s="8"/>
    </row>
    <row r="1347" spans="1:12" s="9" customFormat="1" hidden="1">
      <c r="A1347" s="171"/>
      <c r="B1347" s="171"/>
      <c r="C1347" s="100"/>
      <c r="D1347" s="100"/>
      <c r="E1347" s="100"/>
      <c r="F1347" s="100"/>
      <c r="G1347" s="100"/>
      <c r="H1347" s="100"/>
      <c r="I1347" s="8"/>
      <c r="J1347" s="8"/>
    </row>
    <row r="1348" spans="1:12" s="9" customFormat="1" hidden="1">
      <c r="A1348" s="767">
        <v>37</v>
      </c>
      <c r="B1348" s="460" t="s">
        <v>1189</v>
      </c>
      <c r="C1348" s="100" t="s">
        <v>1190</v>
      </c>
      <c r="D1348" s="100"/>
      <c r="E1348" s="1083"/>
      <c r="F1348" s="100"/>
      <c r="G1348" s="100"/>
      <c r="H1348" s="100"/>
      <c r="I1348" s="8"/>
      <c r="J1348" s="8"/>
    </row>
    <row r="1349" spans="1:12" s="9" customFormat="1" hidden="1">
      <c r="A1349" s="165"/>
      <c r="B1349" s="1064" t="s">
        <v>1191</v>
      </c>
      <c r="C1349" s="102">
        <v>2.2000000000000002</v>
      </c>
      <c r="D1349" s="1084" t="s">
        <v>350</v>
      </c>
      <c r="E1349" s="102">
        <v>1243</v>
      </c>
      <c r="F1349" s="165">
        <f>E1349*C1349</f>
        <v>2734.6000000000004</v>
      </c>
      <c r="G1349" s="1065"/>
      <c r="H1349" s="100"/>
      <c r="I1349" s="8"/>
      <c r="J1349" s="8"/>
    </row>
    <row r="1350" spans="1:12" hidden="1">
      <c r="A1350" s="165"/>
      <c r="B1350" s="1085" t="s">
        <v>1192</v>
      </c>
      <c r="C1350" s="102">
        <v>4.4000000000000004</v>
      </c>
      <c r="D1350" s="1084" t="s">
        <v>350</v>
      </c>
      <c r="E1350" s="182">
        <v>438.47</v>
      </c>
      <c r="F1350" s="165">
        <f>E1350*C1350</f>
        <v>1929.2680000000003</v>
      </c>
      <c r="G1350" s="1065"/>
      <c r="H1350" s="165"/>
    </row>
    <row r="1351" spans="1:12" hidden="1">
      <c r="A1351" s="165"/>
      <c r="B1351" s="171"/>
      <c r="C1351" s="102"/>
      <c r="D1351" s="1084"/>
      <c r="E1351" s="364" t="s">
        <v>117</v>
      </c>
      <c r="F1351" s="364">
        <f>F1349+F1350</f>
        <v>4663.8680000000004</v>
      </c>
      <c r="G1351" s="1065"/>
      <c r="H1351" s="165"/>
    </row>
    <row r="1352" spans="1:12" hidden="1">
      <c r="A1352" s="165"/>
      <c r="B1352" s="1085" t="s">
        <v>351</v>
      </c>
      <c r="C1352" s="102"/>
      <c r="D1352" s="1084"/>
      <c r="E1352" s="102"/>
      <c r="F1352" s="173">
        <f>F1351*5%</f>
        <v>233.19340000000003</v>
      </c>
      <c r="G1352" s="1065"/>
      <c r="H1352" s="165"/>
    </row>
    <row r="1353" spans="1:12" hidden="1">
      <c r="A1353" s="165"/>
      <c r="B1353" s="171"/>
      <c r="C1353" s="102"/>
      <c r="D1353" s="1084"/>
      <c r="E1353" s="364" t="s">
        <v>117</v>
      </c>
      <c r="F1353" s="364">
        <f>F1351+F1352</f>
        <v>4897.0614000000005</v>
      </c>
      <c r="G1353" s="1065"/>
      <c r="H1353" s="165"/>
    </row>
    <row r="1354" spans="1:12" hidden="1">
      <c r="A1354" s="165"/>
      <c r="B1354" s="1085" t="s">
        <v>1193</v>
      </c>
      <c r="C1354" s="102">
        <v>1</v>
      </c>
      <c r="D1354" s="1084" t="s">
        <v>1194</v>
      </c>
      <c r="E1354" s="102">
        <v>1500</v>
      </c>
      <c r="F1354" s="165">
        <f>E1354*C1354</f>
        <v>1500</v>
      </c>
      <c r="G1354" s="1065"/>
      <c r="H1354" s="165"/>
    </row>
    <row r="1355" spans="1:12" hidden="1">
      <c r="A1355" s="165"/>
      <c r="B1355" s="1085" t="s">
        <v>1195</v>
      </c>
      <c r="C1355" s="102">
        <v>1</v>
      </c>
      <c r="D1355" s="1084" t="s">
        <v>409</v>
      </c>
      <c r="E1355" s="102">
        <v>150</v>
      </c>
      <c r="F1355" s="165">
        <f>E1355*C1355</f>
        <v>150</v>
      </c>
      <c r="G1355" s="1065"/>
      <c r="H1355" s="165"/>
    </row>
    <row r="1356" spans="1:12" hidden="1">
      <c r="A1356" s="165"/>
      <c r="B1356" s="1085" t="s">
        <v>1196</v>
      </c>
      <c r="C1356" s="102">
        <v>2</v>
      </c>
      <c r="D1356" s="1084" t="s">
        <v>409</v>
      </c>
      <c r="E1356" s="102">
        <v>500</v>
      </c>
      <c r="F1356" s="165">
        <f>E1356*C1356</f>
        <v>1000</v>
      </c>
      <c r="G1356" s="1065"/>
      <c r="H1356" s="165"/>
    </row>
    <row r="1357" spans="1:12" s="1" customFormat="1" hidden="1">
      <c r="A1357" s="165"/>
      <c r="B1357" s="1085" t="s">
        <v>1197</v>
      </c>
      <c r="C1357" s="102">
        <v>1</v>
      </c>
      <c r="D1357" s="1084" t="s">
        <v>409</v>
      </c>
      <c r="E1357" s="102">
        <v>750</v>
      </c>
      <c r="F1357" s="165">
        <f>E1357*C1357</f>
        <v>750</v>
      </c>
      <c r="G1357" s="1065"/>
      <c r="H1357" s="165"/>
      <c r="K1357"/>
      <c r="L1357"/>
    </row>
    <row r="1358" spans="1:12" s="1" customFormat="1" hidden="1">
      <c r="A1358" s="165"/>
      <c r="B1358" s="1085" t="s">
        <v>1198</v>
      </c>
      <c r="C1358" s="100"/>
      <c r="D1358" s="1084" t="s">
        <v>29</v>
      </c>
      <c r="E1358" s="102"/>
      <c r="F1358" s="165">
        <v>500</v>
      </c>
      <c r="G1358" s="1065"/>
      <c r="H1358" s="165"/>
      <c r="K1358"/>
      <c r="L1358"/>
    </row>
    <row r="1359" spans="1:12" s="1" customFormat="1" hidden="1">
      <c r="A1359" s="165"/>
      <c r="B1359" s="171"/>
      <c r="C1359" s="100"/>
      <c r="D1359" s="102"/>
      <c r="E1359" s="102"/>
      <c r="F1359" s="102">
        <f>SUM(F1353:F1358)</f>
        <v>8797.0614000000005</v>
      </c>
      <c r="G1359" s="100" t="s">
        <v>1199</v>
      </c>
      <c r="H1359" s="165"/>
      <c r="K1359"/>
      <c r="L1359"/>
    </row>
    <row r="1360" spans="1:12" s="1" customFormat="1" hidden="1">
      <c r="A1360" s="165"/>
      <c r="B1360" s="171"/>
      <c r="C1360" s="100"/>
      <c r="D1360" s="102"/>
      <c r="E1360" s="1084"/>
      <c r="F1360" s="102">
        <f>F1359/2.2</f>
        <v>3998.6642727272724</v>
      </c>
      <c r="G1360" s="100" t="s">
        <v>388</v>
      </c>
      <c r="H1360" s="165"/>
      <c r="K1360"/>
      <c r="L1360"/>
    </row>
    <row r="1361" spans="1:12" s="1" customFormat="1" hidden="1">
      <c r="A1361" s="165"/>
      <c r="B1361" s="164"/>
      <c r="C1361" s="165"/>
      <c r="D1361" s="165"/>
      <c r="E1361" s="1083"/>
      <c r="F1361" s="165"/>
      <c r="G1361" s="1065"/>
      <c r="H1361" s="165"/>
      <c r="K1361"/>
      <c r="L1361"/>
    </row>
    <row r="1362" spans="1:12" s="1" customFormat="1" hidden="1">
      <c r="A1362" s="165"/>
      <c r="B1362" s="171" t="s">
        <v>1200</v>
      </c>
      <c r="C1362" s="100"/>
      <c r="D1362" s="100"/>
      <c r="E1362" s="1086"/>
      <c r="F1362" s="102"/>
      <c r="G1362" s="1065"/>
      <c r="H1362" s="165"/>
      <c r="K1362"/>
      <c r="L1362"/>
    </row>
    <row r="1363" spans="1:12" s="1" customFormat="1" hidden="1">
      <c r="A1363" s="165"/>
      <c r="B1363" s="171" t="s">
        <v>340</v>
      </c>
      <c r="C1363" s="100">
        <v>2</v>
      </c>
      <c r="D1363" s="100" t="s">
        <v>506</v>
      </c>
      <c r="E1363" s="1087">
        <f>Lead!E66</f>
        <v>260</v>
      </c>
      <c r="F1363" s="102">
        <f>E1363*C1363</f>
        <v>520</v>
      </c>
      <c r="G1363" s="1068"/>
      <c r="H1363" s="165"/>
      <c r="K1363"/>
      <c r="L1363"/>
    </row>
    <row r="1364" spans="1:12" s="1" customFormat="1" hidden="1">
      <c r="A1364" s="165"/>
      <c r="B1364" s="171" t="s">
        <v>1201</v>
      </c>
      <c r="C1364" s="100">
        <v>2</v>
      </c>
      <c r="D1364" s="100" t="s">
        <v>506</v>
      </c>
      <c r="E1364" s="1087">
        <f>Lead!J52</f>
        <v>220</v>
      </c>
      <c r="F1364" s="102">
        <f>E1364*C1364</f>
        <v>440</v>
      </c>
      <c r="G1364" s="1068"/>
      <c r="H1364" s="165"/>
      <c r="K1364"/>
      <c r="L1364"/>
    </row>
    <row r="1365" spans="1:12" s="1" customFormat="1" hidden="1">
      <c r="A1365" s="165"/>
      <c r="B1365" s="171"/>
      <c r="C1365" s="100"/>
      <c r="D1365" s="100"/>
      <c r="E1365" s="1086"/>
      <c r="F1365" s="102">
        <f>SUM(F1363:F1364)</f>
        <v>960</v>
      </c>
      <c r="G1365" s="809" t="s">
        <v>1202</v>
      </c>
      <c r="H1365" s="165"/>
      <c r="K1365"/>
      <c r="L1365"/>
    </row>
    <row r="1366" spans="1:12" s="1" customFormat="1" hidden="1">
      <c r="A1366" s="165"/>
      <c r="B1366" s="171"/>
      <c r="C1366" s="100"/>
      <c r="D1366" s="165"/>
      <c r="E1366" s="100"/>
      <c r="F1366" s="1088">
        <f>F1365/1.88</f>
        <v>510.63829787234044</v>
      </c>
      <c r="G1366" s="100" t="s">
        <v>388</v>
      </c>
      <c r="H1366" s="165"/>
      <c r="K1366"/>
      <c r="L1366"/>
    </row>
    <row r="1367" spans="1:12" s="1" customFormat="1" hidden="1">
      <c r="A1367" s="165"/>
      <c r="B1367" s="1085" t="s">
        <v>1203</v>
      </c>
      <c r="C1367" s="100"/>
      <c r="D1367" s="100"/>
      <c r="E1367" s="1083"/>
      <c r="F1367" s="100"/>
      <c r="G1367" s="1065"/>
      <c r="H1367" s="165"/>
      <c r="K1367"/>
      <c r="L1367"/>
    </row>
    <row r="1368" spans="1:12" s="1" customFormat="1" hidden="1">
      <c r="A1368" s="165"/>
      <c r="B1368" s="171" t="s">
        <v>298</v>
      </c>
      <c r="C1368" s="1089">
        <v>1</v>
      </c>
      <c r="D1368" s="100" t="s">
        <v>506</v>
      </c>
      <c r="E1368" s="1087">
        <f>Lead!E60</f>
        <v>240</v>
      </c>
      <c r="F1368" s="102">
        <f>E1368*C1368</f>
        <v>240</v>
      </c>
      <c r="G1368" s="1068"/>
      <c r="H1368" s="165"/>
      <c r="K1368"/>
      <c r="L1368"/>
    </row>
    <row r="1369" spans="1:12" s="1" customFormat="1" hidden="1">
      <c r="A1369" s="165"/>
      <c r="B1369" s="171" t="s">
        <v>313</v>
      </c>
      <c r="C1369" s="1089">
        <v>1</v>
      </c>
      <c r="D1369" s="100" t="s">
        <v>506</v>
      </c>
      <c r="E1369" s="1087">
        <f>Lead!E47</f>
        <v>200</v>
      </c>
      <c r="F1369" s="102">
        <f>E1369*C1369</f>
        <v>200</v>
      </c>
      <c r="G1369" s="1065"/>
      <c r="H1369" s="165"/>
      <c r="K1369"/>
      <c r="L1369"/>
    </row>
    <row r="1370" spans="1:12" s="1" customFormat="1" hidden="1">
      <c r="A1370" s="165"/>
      <c r="B1370" s="171"/>
      <c r="C1370" s="100"/>
      <c r="D1370" s="102"/>
      <c r="E1370" s="1086"/>
      <c r="F1370" s="102">
        <f>SUM(F1368:F1369)</f>
        <v>440</v>
      </c>
      <c r="G1370" s="809" t="s">
        <v>1202</v>
      </c>
      <c r="H1370" s="165"/>
      <c r="K1370"/>
      <c r="L1370"/>
    </row>
    <row r="1371" spans="1:12" s="1" customFormat="1" hidden="1">
      <c r="A1371" s="165"/>
      <c r="B1371" s="171"/>
      <c r="C1371" s="100"/>
      <c r="D1371" s="102"/>
      <c r="E1371" s="102"/>
      <c r="F1371" s="1088">
        <f>F1370/1.88</f>
        <v>234.04255319148936</v>
      </c>
      <c r="G1371" s="100" t="s">
        <v>388</v>
      </c>
      <c r="H1371" s="165"/>
      <c r="K1371"/>
      <c r="L1371"/>
    </row>
    <row r="1372" spans="1:12" s="1" customFormat="1" hidden="1">
      <c r="A1372" s="165"/>
      <c r="B1372" s="164"/>
      <c r="C1372" s="165"/>
      <c r="D1372" s="165"/>
      <c r="E1372" s="1088" t="s">
        <v>117</v>
      </c>
      <c r="F1372" s="102">
        <f>F1360+F1366+F1371</f>
        <v>4743.3451237911031</v>
      </c>
      <c r="G1372" s="1065"/>
      <c r="H1372" s="165"/>
      <c r="K1372"/>
      <c r="L1372"/>
    </row>
    <row r="1373" spans="1:12" hidden="1">
      <c r="A1373" s="165"/>
      <c r="B1373" s="164" t="s">
        <v>512</v>
      </c>
      <c r="C1373" s="1090"/>
      <c r="D1373" s="1090"/>
      <c r="E1373" s="1091"/>
      <c r="F1373" s="102">
        <f>F1372*7.5%</f>
        <v>355.7508842843327</v>
      </c>
      <c r="G1373" s="1090"/>
      <c r="H1373" s="165"/>
    </row>
    <row r="1374" spans="1:12" hidden="1">
      <c r="A1374" s="165"/>
      <c r="B1374" s="164" t="s">
        <v>498</v>
      </c>
      <c r="C1374" s="1090"/>
      <c r="D1374" s="1090"/>
      <c r="E1374" s="1091"/>
      <c r="F1374" s="102">
        <f>F1372*7.5%</f>
        <v>355.7508842843327</v>
      </c>
      <c r="G1374" s="1090"/>
      <c r="H1374" s="165"/>
    </row>
    <row r="1375" spans="1:12" hidden="1">
      <c r="A1375" s="165"/>
      <c r="B1375" s="164"/>
      <c r="C1375" s="165"/>
      <c r="D1375" s="165"/>
      <c r="E1375" s="1088" t="s">
        <v>117</v>
      </c>
      <c r="F1375" s="102">
        <f>SUM(F1372:F1374)</f>
        <v>5454.8468923597684</v>
      </c>
      <c r="G1375" s="100" t="s">
        <v>388</v>
      </c>
      <c r="H1375" s="165"/>
    </row>
    <row r="1376" spans="1:12" hidden="1">
      <c r="A1376" s="165"/>
      <c r="B1376" s="171" t="s">
        <v>1204</v>
      </c>
      <c r="C1376" s="165"/>
      <c r="D1376" s="165"/>
      <c r="E1376" s="1083"/>
      <c r="F1376" s="173">
        <f>F1375*1%</f>
        <v>54.548468923597682</v>
      </c>
      <c r="G1376" s="1065"/>
      <c r="H1376" s="165"/>
    </row>
    <row r="1377" spans="1:10" hidden="1">
      <c r="A1377" s="165"/>
      <c r="B1377" s="164"/>
      <c r="C1377" s="165"/>
      <c r="D1377" s="165"/>
      <c r="E1377" s="1083"/>
      <c r="F1377" s="173">
        <f>SUM(F1375:F1376)</f>
        <v>5509.3953612833657</v>
      </c>
      <c r="G1377" s="100" t="s">
        <v>388</v>
      </c>
      <c r="H1377" s="165"/>
    </row>
    <row r="1378" spans="1:10" hidden="1">
      <c r="A1378" s="165"/>
      <c r="B1378" s="1064"/>
      <c r="C1378" s="1065"/>
      <c r="D1378" s="1065"/>
      <c r="E1378" s="1092" t="s">
        <v>120</v>
      </c>
      <c r="F1378" s="812">
        <f>ROUND(F1377,0)</f>
        <v>5509</v>
      </c>
      <c r="G1378" s="100" t="s">
        <v>388</v>
      </c>
      <c r="H1378" s="165"/>
    </row>
    <row r="1379" spans="1:10" hidden="1">
      <c r="A1379" s="165"/>
      <c r="B1379" s="164"/>
      <c r="C1379" s="165"/>
      <c r="D1379" s="165"/>
      <c r="E1379" s="165"/>
      <c r="F1379" s="165"/>
      <c r="G1379" s="165"/>
      <c r="H1379" s="165"/>
    </row>
    <row r="1380" spans="1:10" hidden="1">
      <c r="A1380" s="164"/>
      <c r="B1380" s="164"/>
      <c r="C1380" s="165"/>
      <c r="D1380" s="165"/>
      <c r="E1380" s="165"/>
      <c r="F1380" s="165"/>
      <c r="G1380" s="165"/>
      <c r="H1380" s="165"/>
    </row>
    <row r="1381" spans="1:10" s="149" customFormat="1" ht="25.5" hidden="1">
      <c r="A1381" s="164">
        <v>38</v>
      </c>
      <c r="B1381" s="462" t="s">
        <v>1272</v>
      </c>
      <c r="C1381" s="1061"/>
      <c r="D1381" s="1061"/>
      <c r="E1381" s="1061"/>
      <c r="F1381" s="831"/>
      <c r="G1381" s="831"/>
      <c r="H1381" s="809"/>
      <c r="I1381" s="121"/>
      <c r="J1381" s="121"/>
    </row>
    <row r="1382" spans="1:10" s="149" customFormat="1" hidden="1">
      <c r="A1382" s="164"/>
      <c r="B1382" s="1093" t="s">
        <v>1255</v>
      </c>
      <c r="C1382" s="1094"/>
      <c r="D1382" s="1061" t="s">
        <v>46</v>
      </c>
      <c r="E1382" s="1061"/>
      <c r="F1382" s="1095"/>
      <c r="G1382" s="1061"/>
      <c r="H1382" s="809"/>
      <c r="I1382" s="121"/>
      <c r="J1382" s="121"/>
    </row>
    <row r="1383" spans="1:10" s="149" customFormat="1" hidden="1">
      <c r="A1383" s="164"/>
      <c r="B1383" s="127" t="s">
        <v>502</v>
      </c>
      <c r="C1383" s="1061"/>
      <c r="D1383" s="1061"/>
      <c r="E1383" s="1061"/>
      <c r="F1383" s="1095"/>
      <c r="G1383" s="1061"/>
      <c r="H1383" s="809"/>
      <c r="I1383" s="121"/>
      <c r="J1383" s="121"/>
    </row>
    <row r="1384" spans="1:10" s="149" customFormat="1" hidden="1">
      <c r="A1384" s="164"/>
      <c r="B1384" s="464" t="s">
        <v>1009</v>
      </c>
      <c r="C1384" s="807">
        <v>10</v>
      </c>
      <c r="D1384" s="846" t="s">
        <v>32</v>
      </c>
      <c r="E1384" s="807">
        <v>491</v>
      </c>
      <c r="F1384" s="1096" t="s">
        <v>1256</v>
      </c>
      <c r="G1384" s="807">
        <f>C1384*E1384</f>
        <v>4910</v>
      </c>
      <c r="H1384" s="809"/>
      <c r="I1384" s="121"/>
      <c r="J1384" s="121"/>
    </row>
    <row r="1385" spans="1:10" s="149" customFormat="1" hidden="1">
      <c r="A1385" s="164"/>
      <c r="B1385" s="464" t="s">
        <v>178</v>
      </c>
      <c r="C1385" s="808">
        <v>1.857</v>
      </c>
      <c r="D1385" s="846" t="s">
        <v>420</v>
      </c>
      <c r="E1385" s="807">
        <f>Lead!E29</f>
        <v>650</v>
      </c>
      <c r="F1385" s="1096" t="s">
        <v>1257</v>
      </c>
      <c r="G1385" s="807">
        <f>C1385*E1385</f>
        <v>1207.05</v>
      </c>
      <c r="H1385" s="809"/>
      <c r="I1385" s="121"/>
      <c r="J1385" s="121"/>
    </row>
    <row r="1386" spans="1:10" s="149" customFormat="1" hidden="1">
      <c r="A1386" s="164"/>
      <c r="B1386" s="464" t="s">
        <v>162</v>
      </c>
      <c r="C1386" s="807">
        <v>0.13</v>
      </c>
      <c r="D1386" s="846" t="s">
        <v>432</v>
      </c>
      <c r="E1386" s="807">
        <f>Lead!E20</f>
        <v>55</v>
      </c>
      <c r="F1386" s="1096" t="s">
        <v>100</v>
      </c>
      <c r="G1386" s="807">
        <f>C1386*E1386</f>
        <v>7.15</v>
      </c>
      <c r="H1386" s="809"/>
      <c r="I1386" s="121"/>
      <c r="J1386" s="121"/>
    </row>
    <row r="1387" spans="1:10" s="149" customFormat="1" hidden="1">
      <c r="A1387" s="164"/>
      <c r="B1387" s="464" t="s">
        <v>1258</v>
      </c>
      <c r="C1387" s="807">
        <v>0.44</v>
      </c>
      <c r="D1387" s="846" t="s">
        <v>420</v>
      </c>
      <c r="E1387" s="807">
        <f>Lead!E29</f>
        <v>650</v>
      </c>
      <c r="F1387" s="1096" t="s">
        <v>1257</v>
      </c>
      <c r="G1387" s="807">
        <f>C1387*E1387</f>
        <v>286</v>
      </c>
      <c r="H1387" s="809"/>
      <c r="I1387" s="121"/>
      <c r="J1387" s="121"/>
    </row>
    <row r="1388" spans="1:10" s="149" customFormat="1" hidden="1">
      <c r="A1388" s="164"/>
      <c r="B1388" s="464" t="s">
        <v>1259</v>
      </c>
      <c r="C1388" s="807">
        <v>0.44</v>
      </c>
      <c r="D1388" s="846" t="s">
        <v>420</v>
      </c>
      <c r="E1388" s="807">
        <f>Lead!E29</f>
        <v>650</v>
      </c>
      <c r="F1388" s="1096" t="s">
        <v>1257</v>
      </c>
      <c r="G1388" s="807">
        <f>C1388*E1388</f>
        <v>286</v>
      </c>
      <c r="H1388" s="809"/>
      <c r="I1388" s="121"/>
      <c r="J1388" s="121"/>
    </row>
    <row r="1389" spans="1:10" s="149" customFormat="1" hidden="1">
      <c r="A1389" s="164"/>
      <c r="B1389" s="127" t="s">
        <v>505</v>
      </c>
      <c r="C1389" s="1061"/>
      <c r="D1389" s="1061"/>
      <c r="E1389" s="1061"/>
      <c r="F1389" s="1095"/>
      <c r="G1389" s="1061"/>
      <c r="H1389" s="1061"/>
      <c r="I1389" s="121"/>
      <c r="J1389" s="121"/>
    </row>
    <row r="1390" spans="1:10" s="149" customFormat="1" hidden="1">
      <c r="A1390" s="164"/>
      <c r="B1390" s="464" t="s">
        <v>155</v>
      </c>
      <c r="C1390" s="807">
        <v>2.16</v>
      </c>
      <c r="D1390" s="846" t="s">
        <v>506</v>
      </c>
      <c r="E1390" s="807">
        <f>Lead!E64</f>
        <v>260</v>
      </c>
      <c r="F1390" s="1096" t="s">
        <v>656</v>
      </c>
      <c r="G1390" s="807">
        <f>C1390*E1390</f>
        <v>561.6</v>
      </c>
      <c r="H1390" s="1061"/>
      <c r="I1390" s="121"/>
      <c r="J1390" s="121"/>
    </row>
    <row r="1391" spans="1:10" s="149" customFormat="1" hidden="1">
      <c r="A1391" s="164"/>
      <c r="B1391" s="464" t="s">
        <v>154</v>
      </c>
      <c r="C1391" s="807">
        <v>5.5</v>
      </c>
      <c r="D1391" s="846" t="s">
        <v>506</v>
      </c>
      <c r="E1391" s="807">
        <f>Lead!E54</f>
        <v>220</v>
      </c>
      <c r="F1391" s="1096" t="s">
        <v>656</v>
      </c>
      <c r="G1391" s="807">
        <f>C1391*E1391</f>
        <v>1210</v>
      </c>
      <c r="H1391" s="1061"/>
      <c r="I1391" s="121"/>
      <c r="J1391" s="121"/>
    </row>
    <row r="1392" spans="1:10" s="149" customFormat="1" hidden="1">
      <c r="A1392" s="164"/>
      <c r="B1392" s="464" t="s">
        <v>1260</v>
      </c>
      <c r="C1392" s="807">
        <v>2.16</v>
      </c>
      <c r="D1392" s="846" t="s">
        <v>506</v>
      </c>
      <c r="E1392" s="807">
        <f>Lead!E47</f>
        <v>200</v>
      </c>
      <c r="F1392" s="1096" t="s">
        <v>656</v>
      </c>
      <c r="G1392" s="807">
        <f>C1392*E1392</f>
        <v>432</v>
      </c>
      <c r="H1392" s="1095"/>
      <c r="I1392" s="121"/>
      <c r="J1392" s="121"/>
    </row>
    <row r="1393" spans="1:10" s="149" customFormat="1" hidden="1">
      <c r="A1393" s="164"/>
      <c r="B1393" s="465" t="s">
        <v>1261</v>
      </c>
      <c r="C1393" s="1061"/>
      <c r="D1393" s="1061"/>
      <c r="E1393" s="1061"/>
      <c r="F1393" s="1095"/>
      <c r="G1393" s="807">
        <f>SUM(G1384:G1392)*10%</f>
        <v>889.98</v>
      </c>
      <c r="H1393" s="1061"/>
      <c r="I1393" s="121"/>
      <c r="J1393" s="121"/>
    </row>
    <row r="1394" spans="1:10" s="149" customFormat="1" hidden="1">
      <c r="A1394" s="164"/>
      <c r="B1394" s="127" t="s">
        <v>524</v>
      </c>
      <c r="C1394" s="1061"/>
      <c r="D1394" s="1061"/>
      <c r="E1394" s="1061"/>
      <c r="F1394" s="1095"/>
      <c r="G1394" s="1061"/>
      <c r="H1394" s="809"/>
      <c r="I1394" s="121"/>
      <c r="J1394" s="121"/>
    </row>
    <row r="1395" spans="1:10" s="149" customFormat="1" hidden="1">
      <c r="A1395" s="164"/>
      <c r="B1395" s="464" t="s">
        <v>178</v>
      </c>
      <c r="C1395" s="807">
        <v>2.7370000000000001</v>
      </c>
      <c r="D1395" s="846" t="s">
        <v>420</v>
      </c>
      <c r="E1395" s="807">
        <f>Lead!J29</f>
        <v>16.899999999999999</v>
      </c>
      <c r="F1395" s="1096" t="s">
        <v>1257</v>
      </c>
      <c r="G1395" s="807">
        <f>C1395*E1395</f>
        <v>46.255299999999998</v>
      </c>
      <c r="H1395" s="809"/>
      <c r="I1395" s="121"/>
      <c r="J1395" s="121"/>
    </row>
    <row r="1396" spans="1:10" s="149" customFormat="1" hidden="1">
      <c r="A1396" s="164"/>
      <c r="B1396" s="464" t="s">
        <v>162</v>
      </c>
      <c r="C1396" s="807">
        <v>0.13</v>
      </c>
      <c r="D1396" s="846" t="s">
        <v>432</v>
      </c>
      <c r="E1396" s="807">
        <f>Lead!J20</f>
        <v>196.4</v>
      </c>
      <c r="F1396" s="1096" t="s">
        <v>100</v>
      </c>
      <c r="G1396" s="807">
        <f>C1396*E1396</f>
        <v>25.532</v>
      </c>
      <c r="H1396" s="809"/>
      <c r="I1396" s="121"/>
      <c r="J1396" s="121"/>
    </row>
    <row r="1397" spans="1:10" s="149" customFormat="1" hidden="1">
      <c r="A1397" s="164"/>
      <c r="B1397" s="464" t="s">
        <v>1254</v>
      </c>
      <c r="C1397" s="807">
        <v>10</v>
      </c>
      <c r="D1397" s="846" t="s">
        <v>32</v>
      </c>
      <c r="E1397" s="807">
        <v>9.5299999999999994</v>
      </c>
      <c r="F1397" s="1096" t="s">
        <v>1256</v>
      </c>
      <c r="G1397" s="807">
        <f>C1397*E1397</f>
        <v>95.3</v>
      </c>
      <c r="H1397" s="809"/>
      <c r="I1397" s="121"/>
      <c r="J1397" s="121"/>
    </row>
    <row r="1398" spans="1:10" s="149" customFormat="1" hidden="1">
      <c r="A1398" s="164"/>
      <c r="B1398" s="464"/>
      <c r="C1398" s="808"/>
      <c r="D1398" s="846"/>
      <c r="E1398" s="807"/>
      <c r="F1398" s="1096"/>
      <c r="G1398" s="807"/>
      <c r="H1398" s="809"/>
      <c r="I1398" s="121"/>
      <c r="J1398" s="121"/>
    </row>
    <row r="1399" spans="1:10" s="149" customFormat="1" hidden="1">
      <c r="A1399" s="164"/>
      <c r="B1399" s="127"/>
      <c r="C1399" s="1061"/>
      <c r="D1399" s="1061"/>
      <c r="E1399" s="1061"/>
      <c r="F1399" s="1095"/>
      <c r="G1399" s="807">
        <f>SUM(G1384:G1398)</f>
        <v>9956.8672999999981</v>
      </c>
      <c r="H1399" s="809" t="s">
        <v>1262</v>
      </c>
      <c r="I1399" s="121"/>
      <c r="J1399" s="121"/>
    </row>
    <row r="1400" spans="1:10" s="149" customFormat="1" hidden="1">
      <c r="A1400" s="164"/>
      <c r="B1400" s="1097" t="s">
        <v>1263</v>
      </c>
      <c r="C1400" s="846"/>
      <c r="D1400" s="846"/>
      <c r="E1400" s="807"/>
      <c r="F1400" s="1096"/>
      <c r="G1400" s="807">
        <f>G1399/10</f>
        <v>995.68672999999978</v>
      </c>
      <c r="H1400" s="809" t="s">
        <v>1264</v>
      </c>
      <c r="I1400" s="121"/>
      <c r="J1400" s="121"/>
    </row>
    <row r="1401" spans="1:10" s="149" customFormat="1" hidden="1">
      <c r="A1401" s="164"/>
      <c r="B1401" s="1059" t="s">
        <v>1265</v>
      </c>
      <c r="C1401" s="846"/>
      <c r="D1401" s="846"/>
      <c r="E1401" s="846"/>
      <c r="F1401" s="1094"/>
      <c r="G1401" s="102">
        <f>G1400*1%</f>
        <v>9.9568672999999972</v>
      </c>
      <c r="H1401" s="1094"/>
      <c r="I1401" s="121"/>
      <c r="J1401" s="121"/>
    </row>
    <row r="1402" spans="1:10" s="149" customFormat="1" hidden="1">
      <c r="A1402" s="164"/>
      <c r="B1402" s="1059"/>
      <c r="C1402" s="846"/>
      <c r="D1402" s="846"/>
      <c r="E1402" s="846"/>
      <c r="F1402" s="1094"/>
      <c r="G1402" s="102">
        <f>SUM(G1400:G1401)</f>
        <v>1005.6435972999998</v>
      </c>
      <c r="H1402" s="834" t="str">
        <f>H1400</f>
        <v>/sqm.</v>
      </c>
      <c r="I1402" s="121"/>
      <c r="J1402" s="121"/>
    </row>
    <row r="1403" spans="1:10" s="149" customFormat="1" hidden="1">
      <c r="A1403" s="164"/>
      <c r="B1403" s="471" t="s">
        <v>1008</v>
      </c>
      <c r="C1403" s="356"/>
      <c r="D1403" s="356"/>
      <c r="E1403" s="356"/>
      <c r="F1403" s="831" t="s">
        <v>543</v>
      </c>
      <c r="G1403" s="831">
        <f>ROUND(G1402,1)</f>
        <v>1005.6</v>
      </c>
      <c r="H1403" s="834" t="str">
        <f>H1402</f>
        <v>/sqm.</v>
      </c>
      <c r="I1403" s="121"/>
      <c r="J1403" s="121"/>
    </row>
    <row r="1404" spans="1:10" s="149" customFormat="1" hidden="1">
      <c r="A1404" s="164"/>
      <c r="B1404" s="1059"/>
      <c r="C1404" s="846"/>
      <c r="D1404" s="846"/>
      <c r="E1404" s="100"/>
      <c r="F1404" s="102"/>
      <c r="G1404" s="100"/>
      <c r="H1404" s="100"/>
      <c r="I1404" s="121"/>
      <c r="J1404" s="121"/>
    </row>
    <row r="1405" spans="1:10" s="149" customFormat="1" ht="38.25" hidden="1">
      <c r="A1405" s="164"/>
      <c r="B1405" s="393" t="s">
        <v>1266</v>
      </c>
      <c r="C1405" s="1269" t="s">
        <v>1267</v>
      </c>
      <c r="D1405" s="1269"/>
      <c r="E1405" s="1098" t="s">
        <v>1268</v>
      </c>
      <c r="F1405" s="1099" t="s">
        <v>1269</v>
      </c>
      <c r="G1405" s="831"/>
      <c r="H1405" s="846"/>
      <c r="I1405" s="121"/>
      <c r="J1405" s="121"/>
    </row>
    <row r="1406" spans="1:10" s="149" customFormat="1" ht="25.5" hidden="1">
      <c r="A1406" s="164"/>
      <c r="B1406" s="464" t="s">
        <v>1270</v>
      </c>
      <c r="C1406" s="1267">
        <f>SUM(G1390:G1392)/10</f>
        <v>220.35999999999999</v>
      </c>
      <c r="D1406" s="1267"/>
      <c r="E1406" s="807">
        <f>C1406*5%</f>
        <v>11.018000000000001</v>
      </c>
      <c r="F1406" s="807">
        <f>E1406*10%</f>
        <v>1.1018000000000001</v>
      </c>
      <c r="G1406" s="807">
        <f>E1406+F1406</f>
        <v>12.119800000000001</v>
      </c>
      <c r="H1406" s="846"/>
      <c r="I1406" s="121"/>
      <c r="J1406" s="121"/>
    </row>
    <row r="1407" spans="1:10" s="149" customFormat="1" hidden="1">
      <c r="A1407" s="164"/>
      <c r="B1407" s="464"/>
      <c r="C1407" s="1100"/>
      <c r="D1407" s="1100"/>
      <c r="E1407" s="846"/>
      <c r="F1407" s="1095"/>
      <c r="G1407" s="807">
        <f>G1403+G1406</f>
        <v>1017.7198000000001</v>
      </c>
      <c r="H1407" s="809"/>
      <c r="I1407" s="121"/>
      <c r="J1407" s="121"/>
    </row>
    <row r="1408" spans="1:10" s="149" customFormat="1" hidden="1">
      <c r="A1408" s="164"/>
      <c r="B1408" s="464"/>
      <c r="C1408" s="1100"/>
      <c r="D1408" s="1100"/>
      <c r="E1408" s="846"/>
      <c r="F1408" s="831" t="s">
        <v>542</v>
      </c>
      <c r="G1408" s="831">
        <f>ROUND(G1407,1)</f>
        <v>1017.7</v>
      </c>
      <c r="H1408" s="809" t="s">
        <v>544</v>
      </c>
      <c r="I1408" s="121"/>
      <c r="J1408" s="121"/>
    </row>
    <row r="1409" spans="1:10" s="149" customFormat="1" hidden="1">
      <c r="A1409" s="164"/>
      <c r="B1409" s="393" t="s">
        <v>1271</v>
      </c>
      <c r="C1409" s="1069"/>
      <c r="D1409" s="1098"/>
      <c r="E1409" s="1098"/>
      <c r="F1409" s="807"/>
      <c r="G1409" s="831"/>
      <c r="H1409" s="846"/>
      <c r="I1409" s="121"/>
      <c r="J1409" s="121"/>
    </row>
    <row r="1410" spans="1:10" s="149" customFormat="1" ht="25.5" hidden="1">
      <c r="A1410" s="164"/>
      <c r="B1410" s="464" t="s">
        <v>1270</v>
      </c>
      <c r="C1410" s="1266">
        <f>C1406+E1406</f>
        <v>231.37799999999999</v>
      </c>
      <c r="D1410" s="1266"/>
      <c r="E1410" s="807">
        <f>C1410*5%</f>
        <v>11.568899999999999</v>
      </c>
      <c r="F1410" s="807">
        <f>E1410*10%</f>
        <v>1.15689</v>
      </c>
      <c r="G1410" s="807">
        <f>E1410+F1410</f>
        <v>12.72579</v>
      </c>
      <c r="H1410" s="846"/>
      <c r="I1410" s="121"/>
      <c r="J1410" s="121"/>
    </row>
    <row r="1411" spans="1:10" s="149" customFormat="1" hidden="1">
      <c r="A1411" s="164"/>
      <c r="B1411" s="1059"/>
      <c r="C1411" s="1267"/>
      <c r="D1411" s="1267"/>
      <c r="E1411" s="846"/>
      <c r="F1411" s="1095"/>
      <c r="G1411" s="807">
        <f>G1407+G1410</f>
        <v>1030.44559</v>
      </c>
      <c r="H1411" s="809" t="s">
        <v>544</v>
      </c>
      <c r="I1411" s="121"/>
      <c r="J1411" s="121"/>
    </row>
    <row r="1412" spans="1:10" s="149" customFormat="1" hidden="1">
      <c r="A1412" s="164"/>
      <c r="B1412" s="1059"/>
      <c r="C1412" s="1267"/>
      <c r="D1412" s="1267"/>
      <c r="E1412" s="846"/>
      <c r="F1412" s="831" t="s">
        <v>542</v>
      </c>
      <c r="G1412" s="831">
        <f>ROUND(G1411,1)</f>
        <v>1030.4000000000001</v>
      </c>
      <c r="H1412" s="809" t="s">
        <v>544</v>
      </c>
      <c r="I1412" s="121"/>
      <c r="J1412" s="121"/>
    </row>
    <row r="1413" spans="1:10" s="149" customFormat="1" hidden="1">
      <c r="A1413" s="164"/>
      <c r="B1413" s="164"/>
      <c r="C1413" s="165"/>
      <c r="D1413" s="165"/>
      <c r="E1413" s="165"/>
      <c r="F1413" s="165"/>
      <c r="G1413" s="165"/>
      <c r="H1413" s="165"/>
      <c r="I1413" s="121"/>
      <c r="J1413" s="121"/>
    </row>
    <row r="1414" spans="1:10" s="149" customFormat="1" ht="25.5" hidden="1">
      <c r="A1414" s="164">
        <v>39</v>
      </c>
      <c r="B1414" s="462" t="s">
        <v>1274</v>
      </c>
      <c r="C1414" s="1061"/>
      <c r="D1414" s="1061"/>
      <c r="E1414" s="846"/>
      <c r="F1414" s="831"/>
      <c r="G1414" s="831"/>
      <c r="H1414" s="809"/>
      <c r="I1414" s="121"/>
      <c r="J1414" s="121"/>
    </row>
    <row r="1415" spans="1:10" s="149" customFormat="1" hidden="1">
      <c r="A1415" s="164"/>
      <c r="B1415" s="1093" t="s">
        <v>1255</v>
      </c>
      <c r="C1415" s="1094"/>
      <c r="D1415" s="1061" t="s">
        <v>46</v>
      </c>
      <c r="E1415" s="1061"/>
      <c r="F1415" s="831"/>
      <c r="G1415" s="831"/>
      <c r="H1415" s="809"/>
      <c r="I1415" s="121"/>
      <c r="J1415" s="121"/>
    </row>
    <row r="1416" spans="1:10" s="149" customFormat="1" hidden="1">
      <c r="A1416" s="164"/>
      <c r="B1416" s="127" t="s">
        <v>502</v>
      </c>
      <c r="C1416" s="1061"/>
      <c r="D1416" s="1061"/>
      <c r="E1416" s="1061"/>
      <c r="F1416" s="1095"/>
      <c r="G1416" s="1061"/>
      <c r="H1416" s="809"/>
      <c r="I1416" s="121"/>
      <c r="J1416" s="121"/>
    </row>
    <row r="1417" spans="1:10" s="149" customFormat="1" hidden="1">
      <c r="A1417" s="164"/>
      <c r="B1417" s="464" t="s">
        <v>1009</v>
      </c>
      <c r="C1417" s="807">
        <v>10</v>
      </c>
      <c r="D1417" s="846" t="s">
        <v>32</v>
      </c>
      <c r="E1417" s="807">
        <f>E1384</f>
        <v>491</v>
      </c>
      <c r="F1417" s="1096" t="s">
        <v>1256</v>
      </c>
      <c r="G1417" s="807">
        <f>C1417*E1417</f>
        <v>4910</v>
      </c>
      <c r="H1417" s="809"/>
      <c r="I1417" s="121"/>
      <c r="J1417" s="121"/>
    </row>
    <row r="1418" spans="1:10" s="149" customFormat="1" hidden="1">
      <c r="A1418" s="164"/>
      <c r="B1418" s="464" t="s">
        <v>178</v>
      </c>
      <c r="C1418" s="808">
        <v>0.71499999999999997</v>
      </c>
      <c r="D1418" s="846" t="s">
        <v>420</v>
      </c>
      <c r="E1418" s="807">
        <f>Lead!E29</f>
        <v>650</v>
      </c>
      <c r="F1418" s="1096" t="s">
        <v>1257</v>
      </c>
      <c r="G1418" s="807">
        <f>C1418*E1418</f>
        <v>464.75</v>
      </c>
      <c r="H1418" s="809"/>
      <c r="I1418" s="121"/>
      <c r="J1418" s="121"/>
    </row>
    <row r="1419" spans="1:10" s="149" customFormat="1" hidden="1">
      <c r="A1419" s="164"/>
      <c r="B1419" s="464" t="s">
        <v>1273</v>
      </c>
      <c r="C1419" s="808">
        <v>0.66</v>
      </c>
      <c r="D1419" s="846" t="s">
        <v>420</v>
      </c>
      <c r="E1419" s="807">
        <f>E1418</f>
        <v>650</v>
      </c>
      <c r="F1419" s="1096" t="s">
        <v>1257</v>
      </c>
      <c r="G1419" s="807">
        <f>C1419*E1419</f>
        <v>429</v>
      </c>
      <c r="H1419" s="809"/>
      <c r="I1419" s="121"/>
      <c r="J1419" s="121"/>
    </row>
    <row r="1420" spans="1:10" s="149" customFormat="1" hidden="1">
      <c r="A1420" s="164"/>
      <c r="B1420" s="464" t="s">
        <v>162</v>
      </c>
      <c r="C1420" s="807">
        <v>0.15</v>
      </c>
      <c r="D1420" s="846" t="s">
        <v>432</v>
      </c>
      <c r="E1420" s="807">
        <f>Lead!E20</f>
        <v>55</v>
      </c>
      <c r="F1420" s="1096" t="s">
        <v>100</v>
      </c>
      <c r="G1420" s="807">
        <f>C1420*E1420</f>
        <v>8.25</v>
      </c>
      <c r="H1420" s="809"/>
      <c r="I1420" s="121"/>
      <c r="J1420" s="121"/>
    </row>
    <row r="1421" spans="1:10" s="149" customFormat="1" hidden="1">
      <c r="A1421" s="164"/>
      <c r="B1421" s="127" t="s">
        <v>505</v>
      </c>
      <c r="C1421" s="1061"/>
      <c r="D1421" s="1061"/>
      <c r="E1421" s="1061"/>
      <c r="F1421" s="1095"/>
      <c r="G1421" s="1061"/>
      <c r="H1421" s="1061"/>
      <c r="I1421" s="121"/>
      <c r="J1421" s="120">
        <f>G1417+G1418+G1419+G1420</f>
        <v>5812</v>
      </c>
    </row>
    <row r="1422" spans="1:10" s="149" customFormat="1" hidden="1">
      <c r="A1422" s="164"/>
      <c r="B1422" s="464" t="s">
        <v>155</v>
      </c>
      <c r="C1422" s="807">
        <v>3.25</v>
      </c>
      <c r="D1422" s="846" t="s">
        <v>506</v>
      </c>
      <c r="E1422" s="807">
        <f>Lead!E64</f>
        <v>260</v>
      </c>
      <c r="F1422" s="1096" t="s">
        <v>656</v>
      </c>
      <c r="G1422" s="807">
        <f>C1422*E1422</f>
        <v>845</v>
      </c>
      <c r="H1422" s="1061"/>
      <c r="I1422" s="121"/>
      <c r="J1422" s="121"/>
    </row>
    <row r="1423" spans="1:10" s="149" customFormat="1" hidden="1">
      <c r="A1423" s="164"/>
      <c r="B1423" s="464" t="s">
        <v>154</v>
      </c>
      <c r="C1423" s="807">
        <v>7.6</v>
      </c>
      <c r="D1423" s="846" t="s">
        <v>506</v>
      </c>
      <c r="E1423" s="807">
        <f>Lead!E54</f>
        <v>220</v>
      </c>
      <c r="F1423" s="1096" t="s">
        <v>656</v>
      </c>
      <c r="G1423" s="807">
        <f>C1423*E1423</f>
        <v>1672</v>
      </c>
      <c r="H1423" s="1061"/>
      <c r="I1423" s="121"/>
      <c r="J1423" s="121"/>
    </row>
    <row r="1424" spans="1:10" s="149" customFormat="1" hidden="1">
      <c r="A1424" s="164"/>
      <c r="B1424" s="464" t="s">
        <v>1260</v>
      </c>
      <c r="C1424" s="807">
        <v>3.25</v>
      </c>
      <c r="D1424" s="846" t="s">
        <v>506</v>
      </c>
      <c r="E1424" s="807">
        <f>Lead!E47</f>
        <v>200</v>
      </c>
      <c r="F1424" s="1096" t="s">
        <v>656</v>
      </c>
      <c r="G1424" s="807">
        <f>C1424*E1424</f>
        <v>650</v>
      </c>
      <c r="H1424" s="1095"/>
      <c r="I1424" s="121"/>
      <c r="J1424" s="120">
        <f>G1422+G1423+G1424</f>
        <v>3167</v>
      </c>
    </row>
    <row r="1425" spans="1:10" s="149" customFormat="1" hidden="1">
      <c r="A1425" s="164"/>
      <c r="B1425" s="465" t="s">
        <v>1261</v>
      </c>
      <c r="C1425" s="1061"/>
      <c r="D1425" s="1061"/>
      <c r="E1425" s="1061"/>
      <c r="F1425" s="1095"/>
      <c r="G1425" s="807">
        <f>SUM(G1417:G1424)*10%</f>
        <v>897.90000000000009</v>
      </c>
      <c r="H1425" s="1061"/>
      <c r="I1425" s="121"/>
      <c r="J1425" s="121"/>
    </row>
    <row r="1426" spans="1:10" s="149" customFormat="1" hidden="1">
      <c r="A1426" s="164"/>
      <c r="B1426" s="127" t="s">
        <v>524</v>
      </c>
      <c r="C1426" s="1061"/>
      <c r="D1426" s="1061"/>
      <c r="E1426" s="1061"/>
      <c r="F1426" s="1095"/>
      <c r="G1426" s="1061"/>
      <c r="H1426" s="809"/>
      <c r="I1426" s="121"/>
      <c r="J1426" s="121"/>
    </row>
    <row r="1427" spans="1:10" s="149" customFormat="1" hidden="1">
      <c r="A1427" s="164"/>
      <c r="B1427" s="464" t="s">
        <v>178</v>
      </c>
      <c r="C1427" s="808">
        <f>C1419+C1418</f>
        <v>1.375</v>
      </c>
      <c r="D1427" s="846" t="s">
        <v>420</v>
      </c>
      <c r="E1427" s="807">
        <f>Lead!J29</f>
        <v>16.899999999999999</v>
      </c>
      <c r="F1427" s="1096" t="s">
        <v>1257</v>
      </c>
      <c r="G1427" s="807">
        <f>C1427*E1427</f>
        <v>23.237499999999997</v>
      </c>
      <c r="H1427" s="809"/>
      <c r="I1427" s="121"/>
      <c r="J1427" s="121"/>
    </row>
    <row r="1428" spans="1:10" s="149" customFormat="1" hidden="1">
      <c r="A1428" s="164"/>
      <c r="B1428" s="464" t="s">
        <v>162</v>
      </c>
      <c r="C1428" s="807">
        <v>0.15</v>
      </c>
      <c r="D1428" s="846" t="s">
        <v>432</v>
      </c>
      <c r="E1428" s="807">
        <f>Lead!J20</f>
        <v>196.4</v>
      </c>
      <c r="F1428" s="1096" t="s">
        <v>100</v>
      </c>
      <c r="G1428" s="807">
        <f>C1428*E1428</f>
        <v>29.46</v>
      </c>
      <c r="H1428" s="809"/>
      <c r="I1428" s="121"/>
      <c r="J1428" s="121"/>
    </row>
    <row r="1429" spans="1:10" s="149" customFormat="1" hidden="1">
      <c r="A1429" s="164"/>
      <c r="B1429" s="464" t="s">
        <v>1254</v>
      </c>
      <c r="C1429" s="807">
        <v>10</v>
      </c>
      <c r="D1429" s="846" t="s">
        <v>32</v>
      </c>
      <c r="E1429" s="807">
        <f>E1397</f>
        <v>9.5299999999999994</v>
      </c>
      <c r="F1429" s="1096" t="s">
        <v>1256</v>
      </c>
      <c r="G1429" s="807">
        <f>C1429*E1429</f>
        <v>95.3</v>
      </c>
      <c r="H1429" s="809"/>
      <c r="I1429" s="121"/>
      <c r="J1429" s="121"/>
    </row>
    <row r="1430" spans="1:10" s="149" customFormat="1" hidden="1">
      <c r="A1430" s="164"/>
      <c r="B1430" s="127"/>
      <c r="C1430" s="1061"/>
      <c r="D1430" s="1061"/>
      <c r="E1430" s="1061"/>
      <c r="F1430" s="1095"/>
      <c r="G1430" s="807">
        <f>SUM(G1417:G1429)</f>
        <v>10024.897499999997</v>
      </c>
      <c r="H1430" s="809" t="s">
        <v>1262</v>
      </c>
      <c r="I1430" s="121"/>
      <c r="J1430" s="121"/>
    </row>
    <row r="1431" spans="1:10" s="149" customFormat="1" hidden="1">
      <c r="A1431" s="164"/>
      <c r="B1431" s="1097" t="s">
        <v>1263</v>
      </c>
      <c r="C1431" s="846"/>
      <c r="D1431" s="846"/>
      <c r="E1431" s="807"/>
      <c r="F1431" s="1096"/>
      <c r="G1431" s="807">
        <f>G1430/10</f>
        <v>1002.4897499999997</v>
      </c>
      <c r="H1431" s="809" t="s">
        <v>1264</v>
      </c>
      <c r="I1431" s="121"/>
      <c r="J1431" s="121"/>
    </row>
    <row r="1432" spans="1:10" s="149" customFormat="1" hidden="1">
      <c r="A1432" s="164"/>
      <c r="B1432" s="1059" t="s">
        <v>1265</v>
      </c>
      <c r="C1432" s="846"/>
      <c r="D1432" s="846"/>
      <c r="E1432" s="846"/>
      <c r="F1432" s="1094"/>
      <c r="G1432" s="102">
        <f>G1431*1%</f>
        <v>10.024897499999998</v>
      </c>
      <c r="H1432" s="1094"/>
      <c r="I1432" s="121"/>
      <c r="J1432" s="121"/>
    </row>
    <row r="1433" spans="1:10" s="149" customFormat="1" hidden="1">
      <c r="A1433" s="164"/>
      <c r="B1433" s="1059"/>
      <c r="C1433" s="846"/>
      <c r="D1433" s="846"/>
      <c r="E1433" s="846"/>
      <c r="F1433" s="1094"/>
      <c r="G1433" s="102">
        <f>SUM(G1431:G1432)</f>
        <v>1012.5146474999997</v>
      </c>
      <c r="H1433" s="834" t="str">
        <f>H1431</f>
        <v>/sqm.</v>
      </c>
      <c r="I1433" s="121"/>
      <c r="J1433" s="121"/>
    </row>
    <row r="1434" spans="1:10" s="149" customFormat="1" hidden="1">
      <c r="A1434" s="164"/>
      <c r="B1434" s="471" t="s">
        <v>1008</v>
      </c>
      <c r="C1434" s="356"/>
      <c r="D1434" s="356"/>
      <c r="E1434" s="356"/>
      <c r="F1434" s="831" t="s">
        <v>543</v>
      </c>
      <c r="G1434" s="831">
        <f>ROUND(G1433,1)</f>
        <v>1012.5</v>
      </c>
      <c r="H1434" s="834" t="str">
        <f>H1433</f>
        <v>/sqm.</v>
      </c>
      <c r="I1434" s="121"/>
      <c r="J1434" s="121"/>
    </row>
    <row r="1435" spans="1:10" s="149" customFormat="1" hidden="1">
      <c r="A1435" s="164"/>
      <c r="B1435" s="1059"/>
      <c r="C1435" s="846"/>
      <c r="D1435" s="846"/>
      <c r="E1435" s="100"/>
      <c r="F1435" s="102"/>
      <c r="G1435" s="100"/>
      <c r="H1435" s="100"/>
      <c r="I1435" s="121"/>
      <c r="J1435" s="121"/>
    </row>
    <row r="1436" spans="1:10" s="149" customFormat="1" ht="38.25" hidden="1">
      <c r="A1436" s="164"/>
      <c r="B1436" s="393" t="s">
        <v>1266</v>
      </c>
      <c r="C1436" s="1269" t="s">
        <v>1267</v>
      </c>
      <c r="D1436" s="1269"/>
      <c r="E1436" s="1098" t="s">
        <v>1268</v>
      </c>
      <c r="F1436" s="1099" t="s">
        <v>1269</v>
      </c>
      <c r="G1436" s="831"/>
      <c r="H1436" s="846"/>
      <c r="I1436" s="121"/>
      <c r="J1436" s="121"/>
    </row>
    <row r="1437" spans="1:10" s="149" customFormat="1" ht="25.5" hidden="1">
      <c r="A1437" s="164"/>
      <c r="B1437" s="464" t="s">
        <v>1270</v>
      </c>
      <c r="C1437" s="1267">
        <f>SUM(G1422:G1424)/10</f>
        <v>316.7</v>
      </c>
      <c r="D1437" s="1267"/>
      <c r="E1437" s="807">
        <f>C1437*5%</f>
        <v>15.835000000000001</v>
      </c>
      <c r="F1437" s="807">
        <f>E1437*10%</f>
        <v>1.5835000000000001</v>
      </c>
      <c r="G1437" s="807">
        <f>E1437+F1437</f>
        <v>17.418500000000002</v>
      </c>
      <c r="H1437" s="846"/>
      <c r="I1437" s="121"/>
      <c r="J1437" s="121"/>
    </row>
    <row r="1438" spans="1:10" s="149" customFormat="1" hidden="1">
      <c r="A1438" s="164"/>
      <c r="B1438" s="464"/>
      <c r="C1438" s="1100"/>
      <c r="D1438" s="1100"/>
      <c r="E1438" s="846"/>
      <c r="F1438" s="1095"/>
      <c r="G1438" s="807">
        <f>G1434+G1437</f>
        <v>1029.9185</v>
      </c>
      <c r="H1438" s="809"/>
      <c r="I1438" s="121"/>
      <c r="J1438" s="121"/>
    </row>
    <row r="1439" spans="1:10" s="149" customFormat="1" hidden="1">
      <c r="A1439" s="164"/>
      <c r="B1439" s="464"/>
      <c r="C1439" s="1100"/>
      <c r="D1439" s="1100"/>
      <c r="E1439" s="846"/>
      <c r="F1439" s="831" t="s">
        <v>542</v>
      </c>
      <c r="G1439" s="831">
        <f>ROUND(G1438,1)</f>
        <v>1029.9000000000001</v>
      </c>
      <c r="H1439" s="809" t="s">
        <v>544</v>
      </c>
      <c r="I1439" s="121"/>
      <c r="J1439" s="121"/>
    </row>
    <row r="1440" spans="1:10" s="149" customFormat="1" hidden="1">
      <c r="A1440" s="164"/>
      <c r="B1440" s="393" t="s">
        <v>1271</v>
      </c>
      <c r="C1440" s="1069"/>
      <c r="D1440" s="1098"/>
      <c r="E1440" s="1098"/>
      <c r="F1440" s="807"/>
      <c r="G1440" s="831"/>
      <c r="H1440" s="846"/>
      <c r="I1440" s="121"/>
      <c r="J1440" s="121"/>
    </row>
    <row r="1441" spans="1:12" s="149" customFormat="1" ht="25.5" hidden="1">
      <c r="A1441" s="164"/>
      <c r="B1441" s="464" t="s">
        <v>1270</v>
      </c>
      <c r="C1441" s="1266">
        <f>C1437+E1437</f>
        <v>332.53499999999997</v>
      </c>
      <c r="D1441" s="1266"/>
      <c r="E1441" s="807">
        <f>C1441*5%</f>
        <v>16.626749999999998</v>
      </c>
      <c r="F1441" s="807">
        <f>E1441*10%</f>
        <v>1.6626749999999999</v>
      </c>
      <c r="G1441" s="807">
        <f>E1441+F1441</f>
        <v>18.289424999999998</v>
      </c>
      <c r="H1441" s="846"/>
      <c r="I1441" s="121"/>
      <c r="J1441" s="121"/>
    </row>
    <row r="1442" spans="1:12" s="149" customFormat="1" hidden="1">
      <c r="A1442" s="164"/>
      <c r="B1442" s="1059"/>
      <c r="C1442" s="1267"/>
      <c r="D1442" s="1267"/>
      <c r="E1442" s="846"/>
      <c r="F1442" s="1095"/>
      <c r="G1442" s="807">
        <f>G1438+G1441</f>
        <v>1048.2079249999999</v>
      </c>
      <c r="H1442" s="809"/>
      <c r="I1442" s="121"/>
      <c r="J1442" s="121"/>
    </row>
    <row r="1443" spans="1:12" s="149" customFormat="1" hidden="1">
      <c r="A1443" s="164"/>
      <c r="B1443" s="1059"/>
      <c r="C1443" s="1267"/>
      <c r="D1443" s="1267"/>
      <c r="E1443" s="846"/>
      <c r="F1443" s="831" t="s">
        <v>542</v>
      </c>
      <c r="G1443" s="831">
        <f>ROUND(G1442,1)</f>
        <v>1048.2</v>
      </c>
      <c r="H1443" s="809" t="s">
        <v>544</v>
      </c>
      <c r="I1443" s="121"/>
      <c r="J1443" s="121"/>
    </row>
    <row r="1444" spans="1:12" s="149" customFormat="1" ht="38.25" hidden="1" customHeight="1" thickTop="1">
      <c r="A1444" s="145">
        <v>40</v>
      </c>
      <c r="B1444" s="1236" t="s">
        <v>435</v>
      </c>
      <c r="C1444" s="1236"/>
      <c r="D1444" s="1236"/>
      <c r="E1444" s="1236"/>
      <c r="F1444" s="1236"/>
      <c r="G1444" s="165"/>
      <c r="H1444" s="165"/>
      <c r="I1444" s="121"/>
      <c r="J1444" s="121"/>
    </row>
    <row r="1445" spans="1:12" s="149" customFormat="1" ht="38.25" hidden="1">
      <c r="A1445" s="1101"/>
      <c r="B1445" s="1101" t="s">
        <v>436</v>
      </c>
      <c r="C1445" s="781"/>
      <c r="D1445" s="780"/>
      <c r="E1445" s="782"/>
      <c r="F1445" s="782"/>
      <c r="G1445" s="165"/>
      <c r="H1445" s="165"/>
      <c r="I1445" s="121"/>
      <c r="J1445" s="121"/>
    </row>
    <row r="1446" spans="1:12" hidden="1">
      <c r="A1446" s="1101"/>
      <c r="B1446" s="1101" t="s">
        <v>437</v>
      </c>
      <c r="C1446" s="781">
        <v>0.05</v>
      </c>
      <c r="D1446" s="780" t="s">
        <v>25</v>
      </c>
      <c r="E1446" s="782">
        <f>Lead!E22</f>
        <v>48</v>
      </c>
      <c r="F1446" s="782">
        <f>E1446*C1446</f>
        <v>2.4000000000000004</v>
      </c>
      <c r="G1446" s="165"/>
      <c r="H1446" s="165"/>
    </row>
    <row r="1447" spans="1:12" hidden="1">
      <c r="A1447" s="1101"/>
      <c r="B1447" s="1101" t="s">
        <v>438</v>
      </c>
      <c r="C1447" s="781">
        <v>1</v>
      </c>
      <c r="D1447" s="780" t="s">
        <v>32</v>
      </c>
      <c r="E1447" s="782">
        <v>500</v>
      </c>
      <c r="F1447" s="782">
        <f>E1447*C1447</f>
        <v>500</v>
      </c>
      <c r="G1447" s="165"/>
      <c r="H1447" s="165"/>
    </row>
    <row r="1448" spans="1:12" hidden="1">
      <c r="A1448" s="1101"/>
      <c r="B1448" s="1101" t="s">
        <v>155</v>
      </c>
      <c r="C1448" s="781">
        <v>0.17</v>
      </c>
      <c r="D1448" s="780" t="s">
        <v>308</v>
      </c>
      <c r="E1448" s="782">
        <f>Lead!E64</f>
        <v>260</v>
      </c>
      <c r="F1448" s="782">
        <f>E1448*C1448</f>
        <v>44.2</v>
      </c>
      <c r="G1448" s="165"/>
      <c r="H1448" s="165"/>
    </row>
    <row r="1449" spans="1:12" hidden="1">
      <c r="A1449" s="1101"/>
      <c r="B1449" s="1101" t="s">
        <v>439</v>
      </c>
      <c r="C1449" s="781">
        <v>0.35</v>
      </c>
      <c r="D1449" s="780" t="s">
        <v>308</v>
      </c>
      <c r="E1449" s="782">
        <f>Lead!J54</f>
        <v>220</v>
      </c>
      <c r="F1449" s="782">
        <f>E1449*C1449</f>
        <v>77</v>
      </c>
      <c r="G1449" s="165"/>
      <c r="H1449" s="165"/>
    </row>
    <row r="1450" spans="1:12" hidden="1">
      <c r="A1450" s="1101"/>
      <c r="B1450" s="1101" t="s">
        <v>51</v>
      </c>
      <c r="C1450" s="781">
        <v>1.04</v>
      </c>
      <c r="D1450" s="780" t="s">
        <v>308</v>
      </c>
      <c r="E1450" s="782">
        <f>Lead!E47</f>
        <v>200</v>
      </c>
      <c r="F1450" s="782">
        <f>E1450*C1450</f>
        <v>208</v>
      </c>
      <c r="G1450" s="165"/>
      <c r="H1450" s="165"/>
    </row>
    <row r="1451" spans="1:12" hidden="1">
      <c r="A1451" s="1101"/>
      <c r="B1451" s="1101"/>
      <c r="C1451" s="781"/>
      <c r="D1451" s="780"/>
      <c r="E1451" s="782" t="s">
        <v>117</v>
      </c>
      <c r="F1451" s="782">
        <f>SUM(F1446:F1450)</f>
        <v>831.6</v>
      </c>
      <c r="G1451" s="165"/>
      <c r="H1451" s="165"/>
    </row>
    <row r="1452" spans="1:12" hidden="1">
      <c r="A1452" s="1101"/>
      <c r="B1452" s="1101" t="s">
        <v>440</v>
      </c>
      <c r="C1452" s="781"/>
      <c r="D1452" s="780"/>
      <c r="E1452" s="782"/>
      <c r="F1452" s="782">
        <f>F1451*15%</f>
        <v>124.74</v>
      </c>
      <c r="G1452" s="165"/>
      <c r="H1452" s="165"/>
    </row>
    <row r="1453" spans="1:12" s="1" customFormat="1" hidden="1">
      <c r="A1453" s="1101"/>
      <c r="B1453" s="1101"/>
      <c r="C1453" s="781"/>
      <c r="D1453" s="780"/>
      <c r="E1453" s="782" t="s">
        <v>117</v>
      </c>
      <c r="F1453" s="782">
        <f>SUM(F1451:F1452)</f>
        <v>956.34</v>
      </c>
      <c r="G1453" s="165"/>
      <c r="H1453" s="165"/>
      <c r="K1453"/>
      <c r="L1453"/>
    </row>
    <row r="1454" spans="1:12" s="1" customFormat="1" hidden="1">
      <c r="A1454" s="1101"/>
      <c r="B1454" s="1101" t="s">
        <v>441</v>
      </c>
      <c r="C1454" s="781"/>
      <c r="D1454" s="780"/>
      <c r="E1454" s="782"/>
      <c r="F1454" s="782"/>
      <c r="G1454" s="165"/>
      <c r="H1454" s="165"/>
      <c r="K1454"/>
      <c r="L1454"/>
    </row>
    <row r="1455" spans="1:12" s="1" customFormat="1" hidden="1">
      <c r="A1455" s="1101"/>
      <c r="B1455" s="1101" t="s">
        <v>104</v>
      </c>
      <c r="C1455" s="781">
        <v>0.08</v>
      </c>
      <c r="D1455" s="780"/>
      <c r="E1455" s="782">
        <f>Lead!J22</f>
        <v>196.4</v>
      </c>
      <c r="F1455" s="782">
        <f>E1455*C1455</f>
        <v>15.712000000000002</v>
      </c>
      <c r="G1455" s="165"/>
      <c r="H1455" s="165"/>
      <c r="K1455"/>
      <c r="L1455"/>
    </row>
    <row r="1456" spans="1:12" s="1" customFormat="1" hidden="1">
      <c r="A1456" s="1101"/>
      <c r="B1456" s="1101" t="s">
        <v>442</v>
      </c>
      <c r="C1456" s="781">
        <v>1</v>
      </c>
      <c r="D1456" s="780"/>
      <c r="E1456" s="782">
        <v>8.2799999999999994</v>
      </c>
      <c r="F1456" s="782">
        <f>E1456*C1456</f>
        <v>8.2799999999999994</v>
      </c>
      <c r="G1456" s="165"/>
      <c r="H1456" s="165"/>
      <c r="K1456"/>
      <c r="L1456"/>
    </row>
    <row r="1457" spans="1:12" s="1" customFormat="1" hidden="1">
      <c r="A1457" s="1101"/>
      <c r="B1457" s="1101"/>
      <c r="C1457" s="781"/>
      <c r="D1457" s="780"/>
      <c r="E1457" s="782" t="s">
        <v>117</v>
      </c>
      <c r="F1457" s="782">
        <f>SUM(F1453:F1456)</f>
        <v>980.33199999999999</v>
      </c>
      <c r="G1457" s="165"/>
      <c r="H1457" s="165"/>
      <c r="K1457"/>
      <c r="L1457"/>
    </row>
    <row r="1458" spans="1:12" s="1" customFormat="1" hidden="1">
      <c r="A1458" s="1101"/>
      <c r="B1458" s="1101" t="s">
        <v>443</v>
      </c>
      <c r="C1458" s="781"/>
      <c r="D1458" s="780"/>
      <c r="E1458" s="782"/>
      <c r="F1458" s="782">
        <f>F1457*1%</f>
        <v>9.8033199999999994</v>
      </c>
      <c r="G1458" s="165"/>
      <c r="H1458" s="165"/>
      <c r="K1458"/>
      <c r="L1458"/>
    </row>
    <row r="1459" spans="1:12" s="1" customFormat="1" hidden="1">
      <c r="A1459" s="1101"/>
      <c r="B1459" s="1101"/>
      <c r="C1459" s="781"/>
      <c r="D1459" s="780"/>
      <c r="E1459" s="782"/>
      <c r="F1459" s="782">
        <f>SUM(F1457:F1458)</f>
        <v>990.13531999999998</v>
      </c>
      <c r="G1459" s="165"/>
      <c r="H1459" s="165"/>
      <c r="K1459"/>
      <c r="L1459"/>
    </row>
    <row r="1460" spans="1:12" s="1" customFormat="1" hidden="1">
      <c r="A1460" s="1101"/>
      <c r="B1460" s="1101"/>
      <c r="C1460" s="781"/>
      <c r="D1460" s="780"/>
      <c r="E1460" s="783" t="s">
        <v>120</v>
      </c>
      <c r="F1460" s="783">
        <f>ROUND(F1459,1)</f>
        <v>990.1</v>
      </c>
      <c r="G1460" s="165"/>
      <c r="H1460" s="165"/>
      <c r="K1460"/>
      <c r="L1460"/>
    </row>
    <row r="1461" spans="1:12" hidden="1">
      <c r="A1461" s="164"/>
      <c r="B1461" s="164"/>
      <c r="C1461" s="165"/>
      <c r="D1461" s="165"/>
      <c r="E1461" s="165"/>
      <c r="F1461" s="165"/>
      <c r="G1461" s="165"/>
      <c r="H1461" s="165"/>
    </row>
    <row r="1462" spans="1:12" hidden="1">
      <c r="A1462" s="164"/>
      <c r="B1462" s="164"/>
      <c r="C1462" s="165"/>
      <c r="D1462" s="165"/>
      <c r="E1462" s="165"/>
      <c r="F1462" s="165"/>
      <c r="G1462" s="165"/>
      <c r="H1462" s="165"/>
    </row>
    <row r="1463" spans="1:12" hidden="1">
      <c r="A1463" s="164"/>
      <c r="B1463" s="164"/>
      <c r="C1463" s="165"/>
      <c r="D1463" s="165"/>
      <c r="E1463" s="165"/>
      <c r="F1463" s="165"/>
      <c r="G1463" s="165"/>
      <c r="H1463" s="165"/>
    </row>
    <row r="1464" spans="1:12" s="1" customFormat="1" ht="33.75" hidden="1" customHeight="1">
      <c r="A1464" s="164">
        <v>41</v>
      </c>
      <c r="B1464" s="1268" t="s">
        <v>1311</v>
      </c>
      <c r="C1464" s="1268"/>
      <c r="D1464" s="1268"/>
      <c r="E1464" s="807"/>
      <c r="F1464" s="831"/>
      <c r="G1464" s="831"/>
      <c r="H1464" s="809"/>
      <c r="K1464"/>
      <c r="L1464"/>
    </row>
    <row r="1465" spans="1:12" s="1" customFormat="1" hidden="1">
      <c r="A1465" s="164"/>
      <c r="B1465" s="1093" t="s">
        <v>1255</v>
      </c>
      <c r="C1465" s="1061"/>
      <c r="D1465" s="1061"/>
      <c r="E1465" s="1061"/>
      <c r="F1465" s="831"/>
      <c r="G1465" s="831"/>
      <c r="H1465" s="809"/>
      <c r="K1465"/>
      <c r="L1465"/>
    </row>
    <row r="1466" spans="1:12" s="1" customFormat="1" hidden="1">
      <c r="A1466" s="164"/>
      <c r="B1466" s="127" t="s">
        <v>502</v>
      </c>
      <c r="C1466" s="1061"/>
      <c r="D1466" s="1061"/>
      <c r="E1466" s="1061"/>
      <c r="F1466" s="831"/>
      <c r="G1466" s="831"/>
      <c r="H1466" s="809"/>
      <c r="K1466"/>
      <c r="L1466"/>
    </row>
    <row r="1467" spans="1:12" s="1" customFormat="1" hidden="1">
      <c r="A1467" s="164"/>
      <c r="B1467" s="464" t="s">
        <v>103</v>
      </c>
      <c r="C1467" s="1102">
        <v>3.6799999999999999E-2</v>
      </c>
      <c r="D1467" s="846" t="s">
        <v>432</v>
      </c>
      <c r="E1467" s="807">
        <f>Lead!E11</f>
        <v>1168</v>
      </c>
      <c r="F1467" s="1103" t="s">
        <v>100</v>
      </c>
      <c r="G1467" s="807">
        <f>C1467*E1467</f>
        <v>42.982399999999998</v>
      </c>
      <c r="H1467" s="809"/>
      <c r="K1467"/>
      <c r="L1467"/>
    </row>
    <row r="1468" spans="1:12" s="1" customFormat="1" hidden="1">
      <c r="A1468" s="164"/>
      <c r="B1468" s="464" t="s">
        <v>162</v>
      </c>
      <c r="C1468" s="1102">
        <v>1.9199999999999998E-2</v>
      </c>
      <c r="D1468" s="846" t="s">
        <v>432</v>
      </c>
      <c r="E1468" s="807">
        <f>Lead!E20</f>
        <v>55</v>
      </c>
      <c r="F1468" s="1096" t="s">
        <v>100</v>
      </c>
      <c r="G1468" s="807">
        <f>C1468*E1468</f>
        <v>1.0559999999999998</v>
      </c>
      <c r="H1468" s="809"/>
      <c r="K1468"/>
      <c r="L1468"/>
    </row>
    <row r="1469" spans="1:12" s="1" customFormat="1" hidden="1">
      <c r="A1469" s="164"/>
      <c r="B1469" s="464" t="s">
        <v>178</v>
      </c>
      <c r="C1469" s="1102">
        <v>0.13700000000000001</v>
      </c>
      <c r="D1469" s="846" t="s">
        <v>420</v>
      </c>
      <c r="E1469" s="807">
        <f>Lead!E29</f>
        <v>650</v>
      </c>
      <c r="F1469" s="1096" t="s">
        <v>1257</v>
      </c>
      <c r="G1469" s="807">
        <f>C1469*E1469</f>
        <v>89.050000000000011</v>
      </c>
      <c r="H1469" s="809"/>
      <c r="K1469"/>
      <c r="L1469"/>
    </row>
    <row r="1470" spans="1:12" s="1" customFormat="1" hidden="1">
      <c r="A1470" s="164"/>
      <c r="B1470" s="127" t="s">
        <v>1305</v>
      </c>
      <c r="C1470" s="1104"/>
      <c r="D1470" s="1061"/>
      <c r="E1470" s="1061"/>
      <c r="F1470" s="1095"/>
      <c r="G1470" s="1061"/>
      <c r="H1470" s="1095"/>
      <c r="K1470"/>
      <c r="L1470"/>
    </row>
    <row r="1471" spans="1:12" s="1" customFormat="1" hidden="1">
      <c r="A1471" s="164"/>
      <c r="B1471" s="464" t="s">
        <v>155</v>
      </c>
      <c r="C1471" s="1102">
        <v>0.13</v>
      </c>
      <c r="D1471" s="846" t="s">
        <v>506</v>
      </c>
      <c r="E1471" s="807">
        <f>Lead!E64</f>
        <v>260</v>
      </c>
      <c r="F1471" s="1096" t="s">
        <v>656</v>
      </c>
      <c r="G1471" s="807">
        <f>C1471*E1471</f>
        <v>33.800000000000004</v>
      </c>
      <c r="H1471" s="1095"/>
      <c r="K1471"/>
      <c r="L1471"/>
    </row>
    <row r="1472" spans="1:12" s="1" customFormat="1" hidden="1">
      <c r="A1472" s="164"/>
      <c r="B1472" s="464" t="s">
        <v>313</v>
      </c>
      <c r="C1472" s="1102">
        <v>0.57599999999999996</v>
      </c>
      <c r="D1472" s="846" t="s">
        <v>506</v>
      </c>
      <c r="E1472" s="807">
        <f>Lead!E47</f>
        <v>200</v>
      </c>
      <c r="F1472" s="1096" t="s">
        <v>656</v>
      </c>
      <c r="G1472" s="807">
        <f>C1472*E1472</f>
        <v>115.19999999999999</v>
      </c>
      <c r="H1472" s="1061"/>
      <c r="K1472"/>
      <c r="L1472"/>
    </row>
    <row r="1473" spans="1:12" s="1" customFormat="1" hidden="1">
      <c r="A1473" s="164"/>
      <c r="B1473" s="465" t="s">
        <v>1367</v>
      </c>
      <c r="C1473" s="1104"/>
      <c r="D1473" s="1061"/>
      <c r="E1473" s="1061"/>
      <c r="F1473" s="1095"/>
      <c r="G1473" s="807">
        <f>SUM(G1467:G1472)*15%</f>
        <v>42.313259999999993</v>
      </c>
      <c r="H1473" s="1061"/>
      <c r="K1473"/>
      <c r="L1473"/>
    </row>
    <row r="1474" spans="1:12" s="1" customFormat="1" hidden="1">
      <c r="A1474" s="164"/>
      <c r="B1474" s="127" t="s">
        <v>1306</v>
      </c>
      <c r="C1474" s="1104"/>
      <c r="D1474" s="1061"/>
      <c r="E1474" s="1061"/>
      <c r="F1474" s="1095"/>
      <c r="G1474" s="846"/>
      <c r="H1474" s="809"/>
      <c r="K1474"/>
      <c r="L1474"/>
    </row>
    <row r="1475" spans="1:12" s="1" customFormat="1" hidden="1">
      <c r="A1475" s="164"/>
      <c r="B1475" s="464" t="s">
        <v>1307</v>
      </c>
      <c r="C1475" s="1102">
        <v>3.6799999999999999E-2</v>
      </c>
      <c r="D1475" s="846" t="s">
        <v>432</v>
      </c>
      <c r="E1475" s="807">
        <f>Lead!J11</f>
        <v>850.4</v>
      </c>
      <c r="F1475" s="1103" t="s">
        <v>100</v>
      </c>
      <c r="G1475" s="807">
        <f>C1475*E1475</f>
        <v>31.294719999999998</v>
      </c>
      <c r="H1475" s="809"/>
      <c r="K1475"/>
      <c r="L1475"/>
    </row>
    <row r="1476" spans="1:12" s="1" customFormat="1" hidden="1">
      <c r="A1476" s="164"/>
      <c r="B1476" s="464" t="s">
        <v>162</v>
      </c>
      <c r="C1476" s="1102">
        <v>1.9199999999999998E-2</v>
      </c>
      <c r="D1476" s="846" t="s">
        <v>432</v>
      </c>
      <c r="E1476" s="807">
        <f>Lead!J20</f>
        <v>196.4</v>
      </c>
      <c r="F1476" s="1096" t="s">
        <v>100</v>
      </c>
      <c r="G1476" s="807">
        <f>C1476*E1476</f>
        <v>3.7708799999999996</v>
      </c>
      <c r="H1476" s="809"/>
      <c r="K1476"/>
      <c r="L1476"/>
    </row>
    <row r="1477" spans="1:12" s="1" customFormat="1" hidden="1">
      <c r="A1477" s="164"/>
      <c r="B1477" s="464" t="s">
        <v>178</v>
      </c>
      <c r="C1477" s="808">
        <v>0.13700000000000001</v>
      </c>
      <c r="D1477" s="846" t="s">
        <v>420</v>
      </c>
      <c r="E1477" s="807">
        <f>Lead!J29</f>
        <v>16.899999999999999</v>
      </c>
      <c r="F1477" s="1096" t="s">
        <v>1257</v>
      </c>
      <c r="G1477" s="807">
        <f>C1477*E1477</f>
        <v>2.3153000000000001</v>
      </c>
      <c r="H1477" s="809"/>
      <c r="K1477"/>
      <c r="L1477"/>
    </row>
    <row r="1478" spans="1:12" s="1" customFormat="1" hidden="1">
      <c r="A1478" s="164"/>
      <c r="B1478" s="127"/>
      <c r="C1478" s="1061"/>
      <c r="D1478" s="1061"/>
      <c r="E1478" s="1061"/>
      <c r="F1478" s="1095"/>
      <c r="G1478" s="807">
        <f>SUM(G1467:G1477)</f>
        <v>361.78255999999993</v>
      </c>
      <c r="H1478" s="809" t="s">
        <v>1264</v>
      </c>
      <c r="K1478"/>
      <c r="L1478"/>
    </row>
    <row r="1479" spans="1:12" s="1" customFormat="1" hidden="1">
      <c r="A1479" s="164"/>
      <c r="B1479" s="1059" t="s">
        <v>1265</v>
      </c>
      <c r="C1479" s="846"/>
      <c r="D1479" s="846"/>
      <c r="E1479" s="846"/>
      <c r="F1479" s="1094"/>
      <c r="G1479" s="102">
        <f>G1478*1%</f>
        <v>3.6178255999999993</v>
      </c>
      <c r="H1479" s="1094"/>
      <c r="K1479"/>
      <c r="L1479"/>
    </row>
    <row r="1480" spans="1:12" s="1" customFormat="1" hidden="1">
      <c r="A1480" s="164"/>
      <c r="B1480" s="1059"/>
      <c r="C1480" s="846"/>
      <c r="D1480" s="846"/>
      <c r="E1480" s="846"/>
      <c r="F1480" s="1094"/>
      <c r="G1480" s="102">
        <f>SUM(G1478:G1479)</f>
        <v>365.40038559999994</v>
      </c>
      <c r="H1480" s="834" t="str">
        <f>H1478</f>
        <v>/sqm.</v>
      </c>
      <c r="K1480"/>
      <c r="L1480"/>
    </row>
    <row r="1481" spans="1:12" s="1" customFormat="1" hidden="1">
      <c r="A1481" s="164"/>
      <c r="B1481" s="471" t="s">
        <v>1008</v>
      </c>
      <c r="C1481" s="356"/>
      <c r="D1481" s="356"/>
      <c r="E1481" s="356"/>
      <c r="F1481" s="831" t="s">
        <v>543</v>
      </c>
      <c r="G1481" s="831">
        <f>ROUND(G1480,1)</f>
        <v>365.4</v>
      </c>
      <c r="H1481" s="834" t="str">
        <f>H1478</f>
        <v>/sqm.</v>
      </c>
      <c r="K1481"/>
      <c r="L1481"/>
    </row>
    <row r="1482" spans="1:12" s="1" customFormat="1" hidden="1">
      <c r="A1482" s="164"/>
      <c r="B1482" s="1105" t="s">
        <v>1308</v>
      </c>
      <c r="C1482" s="846"/>
      <c r="D1482" s="846"/>
      <c r="E1482" s="846"/>
      <c r="F1482" s="807"/>
      <c r="G1482" s="846"/>
      <c r="H1482" s="809"/>
      <c r="K1482"/>
      <c r="L1482"/>
    </row>
    <row r="1483" spans="1:12" s="1" customFormat="1" ht="38.25" hidden="1">
      <c r="A1483" s="164"/>
      <c r="B1483" s="393" t="s">
        <v>1309</v>
      </c>
      <c r="C1483" s="1269" t="s">
        <v>1267</v>
      </c>
      <c r="D1483" s="1269"/>
      <c r="E1483" s="1098" t="s">
        <v>1268</v>
      </c>
      <c r="F1483" s="1099" t="s">
        <v>1269</v>
      </c>
      <c r="G1483" s="831"/>
      <c r="H1483" s="846"/>
      <c r="K1483"/>
      <c r="L1483"/>
    </row>
    <row r="1484" spans="1:12" s="1" customFormat="1" ht="25.5" hidden="1">
      <c r="A1484" s="164"/>
      <c r="B1484" s="475" t="s">
        <v>1270</v>
      </c>
      <c r="C1484" s="1266">
        <f>SUM(G1471:G1472)</f>
        <v>149</v>
      </c>
      <c r="D1484" s="1266"/>
      <c r="E1484" s="807">
        <f>C1484*5%</f>
        <v>7.45</v>
      </c>
      <c r="F1484" s="807">
        <f>E1484*10%</f>
        <v>0.74500000000000011</v>
      </c>
      <c r="G1484" s="807">
        <f>E1484+F1484</f>
        <v>8.1950000000000003</v>
      </c>
      <c r="H1484" s="846"/>
      <c r="K1484"/>
      <c r="L1484"/>
    </row>
    <row r="1485" spans="1:12" s="1" customFormat="1" hidden="1">
      <c r="A1485" s="164"/>
      <c r="B1485" s="464"/>
      <c r="C1485" s="1266"/>
      <c r="D1485" s="1266"/>
      <c r="E1485" s="846"/>
      <c r="F1485" s="1095"/>
      <c r="G1485" s="807">
        <f>G1481+G1484</f>
        <v>373.59499999999997</v>
      </c>
      <c r="H1485" s="809"/>
      <c r="K1485"/>
      <c r="L1485"/>
    </row>
    <row r="1486" spans="1:12" s="1" customFormat="1" hidden="1">
      <c r="A1486" s="164"/>
      <c r="B1486" s="464"/>
      <c r="C1486" s="1266"/>
      <c r="D1486" s="1266"/>
      <c r="E1486" s="846"/>
      <c r="F1486" s="831" t="s">
        <v>542</v>
      </c>
      <c r="G1486" s="831">
        <f>ROUND(G1485,1)</f>
        <v>373.6</v>
      </c>
      <c r="H1486" s="809" t="s">
        <v>544</v>
      </c>
      <c r="K1486"/>
      <c r="L1486"/>
    </row>
    <row r="1487" spans="1:12" s="1" customFormat="1" hidden="1">
      <c r="A1487" s="164"/>
      <c r="B1487" s="393" t="s">
        <v>1271</v>
      </c>
      <c r="C1487" s="1266"/>
      <c r="D1487" s="1266"/>
      <c r="E1487" s="1098"/>
      <c r="F1487" s="807"/>
      <c r="G1487" s="831"/>
      <c r="H1487" s="809"/>
      <c r="K1487"/>
      <c r="L1487"/>
    </row>
    <row r="1488" spans="1:12" s="1" customFormat="1" ht="25.5" hidden="1">
      <c r="A1488" s="164"/>
      <c r="B1488" s="475" t="s">
        <v>1270</v>
      </c>
      <c r="C1488" s="1266">
        <f>C1484+E1484</f>
        <v>156.44999999999999</v>
      </c>
      <c r="D1488" s="1266"/>
      <c r="E1488" s="807">
        <f>C1488*5%</f>
        <v>7.8224999999999998</v>
      </c>
      <c r="F1488" s="807">
        <f>E1488*10%</f>
        <v>0.78225</v>
      </c>
      <c r="G1488" s="807">
        <f>E1488+F1488</f>
        <v>8.6047499999999992</v>
      </c>
      <c r="H1488" s="809"/>
      <c r="K1488"/>
      <c r="L1488"/>
    </row>
    <row r="1489" spans="1:12" s="1" customFormat="1" hidden="1">
      <c r="A1489" s="164"/>
      <c r="B1489" s="127"/>
      <c r="C1489" s="1266"/>
      <c r="D1489" s="1266"/>
      <c r="E1489" s="1061"/>
      <c r="F1489" s="1095"/>
      <c r="G1489" s="807">
        <f>G1485+G1488</f>
        <v>382.19974999999999</v>
      </c>
      <c r="H1489" s="809"/>
      <c r="K1489"/>
      <c r="L1489"/>
    </row>
    <row r="1490" spans="1:12" s="1" customFormat="1" hidden="1">
      <c r="A1490" s="164"/>
      <c r="B1490" s="127"/>
      <c r="C1490" s="1266"/>
      <c r="D1490" s="1266"/>
      <c r="E1490" s="1061"/>
      <c r="F1490" s="831" t="s">
        <v>542</v>
      </c>
      <c r="G1490" s="831">
        <f>ROUND(G1489,1)+0.05</f>
        <v>382.25</v>
      </c>
      <c r="H1490" s="809" t="s">
        <v>544</v>
      </c>
      <c r="K1490"/>
      <c r="L1490"/>
    </row>
    <row r="1491" spans="1:12" s="1" customFormat="1" hidden="1">
      <c r="A1491" s="164"/>
      <c r="B1491" s="393" t="s">
        <v>1310</v>
      </c>
      <c r="C1491" s="1266"/>
      <c r="D1491" s="1266"/>
      <c r="E1491" s="1098"/>
      <c r="F1491" s="807"/>
      <c r="G1491" s="831"/>
      <c r="H1491" s="809"/>
      <c r="K1491"/>
      <c r="L1491"/>
    </row>
    <row r="1492" spans="1:12" s="1" customFormat="1" ht="25.5" hidden="1">
      <c r="A1492" s="164"/>
      <c r="B1492" s="475" t="s">
        <v>1270</v>
      </c>
      <c r="C1492" s="1266">
        <f>C1488+E1488</f>
        <v>164.27249999999998</v>
      </c>
      <c r="D1492" s="1266"/>
      <c r="E1492" s="807">
        <f>C1492*5%</f>
        <v>8.2136249999999986</v>
      </c>
      <c r="F1492" s="807">
        <f>E1492*10%</f>
        <v>0.82136249999999988</v>
      </c>
      <c r="G1492" s="807">
        <f>E1492+F1492</f>
        <v>9.034987499999998</v>
      </c>
      <c r="H1492" s="809"/>
      <c r="K1492"/>
      <c r="L1492"/>
    </row>
    <row r="1493" spans="1:12" s="1" customFormat="1" hidden="1">
      <c r="A1493" s="164"/>
      <c r="B1493" s="127"/>
      <c r="C1493" s="1266"/>
      <c r="D1493" s="1266"/>
      <c r="E1493" s="1061"/>
      <c r="F1493" s="1095"/>
      <c r="G1493" s="807">
        <f>G1489+G1492</f>
        <v>391.23473749999999</v>
      </c>
      <c r="H1493" s="809"/>
      <c r="K1493"/>
      <c r="L1493"/>
    </row>
    <row r="1494" spans="1:12" s="1" customFormat="1" hidden="1">
      <c r="A1494" s="164"/>
      <c r="B1494" s="127"/>
      <c r="C1494" s="1266"/>
      <c r="D1494" s="1266"/>
      <c r="E1494" s="1061"/>
      <c r="F1494" s="831" t="s">
        <v>542</v>
      </c>
      <c r="G1494" s="831">
        <f>ROUND(G1493,1)</f>
        <v>391.2</v>
      </c>
      <c r="H1494" s="809" t="s">
        <v>544</v>
      </c>
      <c r="K1494"/>
      <c r="L1494"/>
    </row>
    <row r="1495" spans="1:12" s="1" customFormat="1" hidden="1">
      <c r="A1495" s="164"/>
      <c r="B1495" s="164"/>
      <c r="C1495" s="165"/>
      <c r="D1495" s="165"/>
      <c r="E1495" s="165"/>
      <c r="F1495" s="165"/>
      <c r="G1495" s="165"/>
      <c r="H1495" s="165"/>
      <c r="K1495"/>
      <c r="L1495"/>
    </row>
    <row r="1496" spans="1:12" hidden="1">
      <c r="A1496" s="164"/>
      <c r="B1496" s="164"/>
      <c r="C1496" s="165"/>
      <c r="D1496" s="165"/>
      <c r="E1496" s="165"/>
      <c r="F1496" s="165"/>
      <c r="G1496" s="165"/>
      <c r="H1496" s="165"/>
    </row>
    <row r="1497" spans="1:12" hidden="1">
      <c r="A1497" s="164"/>
      <c r="B1497" s="164"/>
      <c r="C1497" s="165"/>
      <c r="D1497" s="165"/>
      <c r="E1497" s="165"/>
      <c r="F1497" s="165"/>
      <c r="G1497" s="165"/>
      <c r="H1497" s="165"/>
    </row>
    <row r="1498" spans="1:12" ht="38.25">
      <c r="A1498" s="1106">
        <v>43</v>
      </c>
      <c r="B1498" s="1107" t="s">
        <v>1470</v>
      </c>
      <c r="C1498" s="1107"/>
      <c r="D1498" s="1107"/>
      <c r="E1498" s="1107"/>
      <c r="F1498" s="1107"/>
      <c r="G1498" s="1106"/>
      <c r="H1498" s="165"/>
    </row>
    <row r="1499" spans="1:12">
      <c r="A1499" s="1106"/>
      <c r="B1499" s="1108" t="s">
        <v>1471</v>
      </c>
      <c r="C1499" s="1109"/>
      <c r="D1499" s="1106"/>
      <c r="E1499" s="1110"/>
      <c r="F1499" s="1110"/>
      <c r="G1499" s="1106"/>
      <c r="H1499" s="165"/>
    </row>
    <row r="1500" spans="1:12">
      <c r="A1500" s="1106"/>
      <c r="B1500" s="1108" t="s">
        <v>1472</v>
      </c>
      <c r="C1500" s="1109"/>
      <c r="D1500" s="1106"/>
      <c r="E1500" s="1110"/>
      <c r="F1500" s="1110"/>
      <c r="G1500" s="1106"/>
      <c r="H1500" s="165"/>
    </row>
    <row r="1501" spans="1:12">
      <c r="A1501" s="1106"/>
      <c r="B1501" s="1108" t="s">
        <v>111</v>
      </c>
      <c r="C1501" s="1109"/>
      <c r="D1501" s="1106"/>
      <c r="E1501" s="1110"/>
      <c r="F1501" s="1110"/>
      <c r="G1501" s="1106"/>
      <c r="H1501" s="165"/>
    </row>
    <row r="1502" spans="1:12">
      <c r="A1502" s="1106"/>
      <c r="B1502" s="1108" t="s">
        <v>1473</v>
      </c>
      <c r="C1502" s="1109">
        <v>0.75</v>
      </c>
      <c r="D1502" s="1106" t="s">
        <v>56</v>
      </c>
      <c r="E1502" s="1110">
        <v>260</v>
      </c>
      <c r="F1502" s="1110">
        <f t="shared" ref="F1502:F1507" si="2">C1502*E1502</f>
        <v>195</v>
      </c>
      <c r="G1502" s="1106"/>
      <c r="H1502" s="165"/>
    </row>
    <row r="1503" spans="1:12">
      <c r="A1503" s="1106"/>
      <c r="B1503" s="1108" t="s">
        <v>1474</v>
      </c>
      <c r="C1503" s="1109">
        <v>1</v>
      </c>
      <c r="D1503" s="1106" t="s">
        <v>56</v>
      </c>
      <c r="E1503" s="1110">
        <v>240</v>
      </c>
      <c r="F1503" s="1110">
        <f t="shared" si="2"/>
        <v>240</v>
      </c>
      <c r="G1503" s="1106"/>
      <c r="H1503" s="165"/>
    </row>
    <row r="1504" spans="1:12">
      <c r="A1504" s="1106"/>
      <c r="B1504" s="1108" t="s">
        <v>1475</v>
      </c>
      <c r="C1504" s="1109">
        <v>1</v>
      </c>
      <c r="D1504" s="1106" t="s">
        <v>56</v>
      </c>
      <c r="E1504" s="1110">
        <v>260</v>
      </c>
      <c r="F1504" s="1110">
        <f t="shared" si="2"/>
        <v>260</v>
      </c>
      <c r="G1504" s="1106"/>
      <c r="H1504" s="165"/>
    </row>
    <row r="1505" spans="1:8">
      <c r="A1505" s="1106"/>
      <c r="B1505" s="1108" t="s">
        <v>1476</v>
      </c>
      <c r="C1505" s="1109">
        <v>1</v>
      </c>
      <c r="D1505" s="1106" t="s">
        <v>56</v>
      </c>
      <c r="E1505" s="1110">
        <v>240</v>
      </c>
      <c r="F1505" s="1110">
        <f t="shared" si="2"/>
        <v>240</v>
      </c>
      <c r="G1505" s="1106"/>
      <c r="H1505" s="165"/>
    </row>
    <row r="1506" spans="1:8">
      <c r="A1506" s="1106"/>
      <c r="B1506" s="1108" t="s">
        <v>1477</v>
      </c>
      <c r="C1506" s="1109">
        <v>1</v>
      </c>
      <c r="D1506" s="1106" t="s">
        <v>56</v>
      </c>
      <c r="E1506" s="1110">
        <v>220</v>
      </c>
      <c r="F1506" s="1110">
        <f t="shared" si="2"/>
        <v>220</v>
      </c>
      <c r="G1506" s="1106"/>
      <c r="H1506" s="165"/>
    </row>
    <row r="1507" spans="1:8">
      <c r="A1507" s="1106"/>
      <c r="B1507" s="1108" t="s">
        <v>27</v>
      </c>
      <c r="C1507" s="1109">
        <v>3.25</v>
      </c>
      <c r="D1507" s="1106" t="s">
        <v>56</v>
      </c>
      <c r="E1507" s="1110">
        <v>200</v>
      </c>
      <c r="F1507" s="1110">
        <f t="shared" si="2"/>
        <v>650</v>
      </c>
      <c r="G1507" s="1106"/>
      <c r="H1507" s="165"/>
    </row>
    <row r="1508" spans="1:8">
      <c r="A1508" s="1106"/>
      <c r="B1508" s="1108"/>
      <c r="C1508" s="1109"/>
      <c r="D1508" s="1106"/>
      <c r="E1508" s="1110" t="s">
        <v>1181</v>
      </c>
      <c r="F1508" s="1110">
        <f>SUM(F1502:F1507)</f>
        <v>1805</v>
      </c>
      <c r="G1508" s="1106"/>
      <c r="H1508" s="165"/>
    </row>
    <row r="1509" spans="1:8">
      <c r="A1509" s="1106"/>
      <c r="B1509" s="1108" t="s">
        <v>1281</v>
      </c>
      <c r="C1509" s="1109"/>
      <c r="D1509" s="1106"/>
      <c r="E1509" s="1110"/>
      <c r="F1509" s="1110">
        <f>F1508*0.075</f>
        <v>135.375</v>
      </c>
      <c r="G1509" s="1106"/>
      <c r="H1509" s="165"/>
    </row>
    <row r="1510" spans="1:8">
      <c r="A1510" s="1106"/>
      <c r="B1510" s="1108" t="s">
        <v>1282</v>
      </c>
      <c r="C1510" s="1109"/>
      <c r="D1510" s="1106"/>
      <c r="E1510" s="1110"/>
      <c r="F1510" s="1110">
        <f>F1508*0.075</f>
        <v>135.375</v>
      </c>
      <c r="G1510" s="1106"/>
      <c r="H1510" s="165"/>
    </row>
    <row r="1511" spans="1:8">
      <c r="A1511" s="1106"/>
      <c r="B1511" s="1108" t="s">
        <v>1478</v>
      </c>
      <c r="C1511" s="1109"/>
      <c r="D1511" s="1106"/>
      <c r="E1511" s="1110"/>
      <c r="F1511" s="1110">
        <f>F1508+F1509+F1510</f>
        <v>2075.75</v>
      </c>
      <c r="G1511" s="1106"/>
      <c r="H1511" s="165"/>
    </row>
    <row r="1512" spans="1:8">
      <c r="A1512" s="1106"/>
      <c r="B1512" s="1108" t="s">
        <v>1478</v>
      </c>
      <c r="C1512" s="1109"/>
      <c r="D1512" s="1106"/>
      <c r="E1512" s="1110"/>
      <c r="F1512" s="1110">
        <f>F1511/0.508</f>
        <v>4086.1220472440946</v>
      </c>
      <c r="G1512" s="1106"/>
      <c r="H1512" s="165"/>
    </row>
    <row r="1513" spans="1:8">
      <c r="A1513" s="1106"/>
      <c r="B1513" s="1108" t="s">
        <v>1479</v>
      </c>
      <c r="C1513" s="1109"/>
      <c r="D1513" s="1106"/>
      <c r="E1513" s="1110"/>
      <c r="F1513" s="1110">
        <f>F1512/100</f>
        <v>40.861220472440948</v>
      </c>
      <c r="G1513" s="1106"/>
      <c r="H1513" s="165"/>
    </row>
    <row r="1514" spans="1:8">
      <c r="A1514" s="1106"/>
      <c r="B1514" s="1108" t="s">
        <v>1480</v>
      </c>
      <c r="C1514" s="1109"/>
      <c r="D1514" s="1106"/>
      <c r="E1514" s="1110"/>
      <c r="F1514" s="1110">
        <v>49.5</v>
      </c>
      <c r="G1514" s="1106"/>
      <c r="H1514" s="165"/>
    </row>
    <row r="1515" spans="1:8">
      <c r="A1515" s="1106"/>
      <c r="B1515" s="1108" t="s">
        <v>1281</v>
      </c>
      <c r="C1515" s="1109"/>
      <c r="D1515" s="1106"/>
      <c r="E1515" s="1110"/>
      <c r="F1515" s="1110">
        <f>F1514*0.075</f>
        <v>3.7124999999999999</v>
      </c>
      <c r="G1515" s="1106"/>
      <c r="H1515" s="165"/>
    </row>
    <row r="1516" spans="1:8">
      <c r="A1516" s="1106"/>
      <c r="B1516" s="1108" t="s">
        <v>1282</v>
      </c>
      <c r="C1516" s="1109"/>
      <c r="D1516" s="1106"/>
      <c r="E1516" s="1110"/>
      <c r="F1516" s="1110">
        <f>F1514*0.075</f>
        <v>3.7124999999999999</v>
      </c>
      <c r="G1516" s="1106"/>
      <c r="H1516" s="165"/>
    </row>
    <row r="1517" spans="1:8">
      <c r="A1517" s="1106"/>
      <c r="B1517" s="1108"/>
      <c r="C1517" s="1109"/>
      <c r="D1517" s="1106"/>
      <c r="E1517" s="1110" t="s">
        <v>117</v>
      </c>
      <c r="F1517" s="1110">
        <f>F1514+F1515+F1516</f>
        <v>56.924999999999997</v>
      </c>
      <c r="G1517" s="1106"/>
      <c r="H1517" s="165"/>
    </row>
    <row r="1518" spans="1:8">
      <c r="A1518" s="1106"/>
      <c r="B1518" s="1108" t="s">
        <v>1481</v>
      </c>
      <c r="C1518" s="1109"/>
      <c r="D1518" s="1106"/>
      <c r="E1518" s="1110"/>
      <c r="F1518" s="1110">
        <v>0.15</v>
      </c>
      <c r="G1518" s="1106"/>
      <c r="H1518" s="165"/>
    </row>
    <row r="1519" spans="1:8">
      <c r="A1519" s="1106"/>
      <c r="B1519" s="1108"/>
      <c r="C1519" s="1109"/>
      <c r="D1519" s="1106"/>
      <c r="E1519" s="1110" t="s">
        <v>117</v>
      </c>
      <c r="F1519" s="1110">
        <f>F1517+F1518</f>
        <v>57.074999999999996</v>
      </c>
      <c r="G1519" s="1106"/>
      <c r="H1519" s="165"/>
    </row>
    <row r="1520" spans="1:8">
      <c r="A1520" s="1106"/>
      <c r="B1520" s="1108" t="s">
        <v>1479</v>
      </c>
      <c r="C1520" s="1109"/>
      <c r="D1520" s="1106"/>
      <c r="E1520" s="1110" t="s">
        <v>1181</v>
      </c>
      <c r="F1520" s="1110">
        <f>F1513+F1519</f>
        <v>97.936220472440937</v>
      </c>
      <c r="G1520" s="1106"/>
      <c r="H1520" s="165"/>
    </row>
    <row r="1521" spans="1:8">
      <c r="A1521" s="1106"/>
      <c r="B1521" s="1108" t="s">
        <v>1482</v>
      </c>
      <c r="C1521" s="1109"/>
      <c r="D1521" s="1106"/>
      <c r="E1521" s="1110"/>
      <c r="F1521" s="1110">
        <v>15</v>
      </c>
      <c r="G1521" s="1106"/>
      <c r="H1521" s="165"/>
    </row>
    <row r="1522" spans="1:8">
      <c r="A1522" s="1106"/>
      <c r="B1522" s="1108"/>
      <c r="C1522" s="1109"/>
      <c r="D1522" s="1106"/>
      <c r="E1522" s="1110" t="s">
        <v>117</v>
      </c>
      <c r="F1522" s="1110">
        <f>F1520+F1521</f>
        <v>112.93622047244094</v>
      </c>
      <c r="G1522" s="1106"/>
      <c r="H1522" s="165"/>
    </row>
    <row r="1523" spans="1:8">
      <c r="A1523" s="1106"/>
      <c r="B1523" s="1108" t="s">
        <v>1285</v>
      </c>
      <c r="C1523" s="1109"/>
      <c r="D1523" s="1106"/>
      <c r="E1523" s="1110"/>
      <c r="F1523" s="1110">
        <f>F1522*0.01</f>
        <v>1.1293622047244094</v>
      </c>
      <c r="G1523" s="1106"/>
      <c r="H1523" s="165"/>
    </row>
    <row r="1524" spans="1:8">
      <c r="A1524" s="1106"/>
      <c r="B1524" s="1108"/>
      <c r="C1524" s="1109"/>
      <c r="D1524" s="1106"/>
      <c r="E1524" s="1110"/>
      <c r="F1524" s="1110">
        <f>F1522+F1523</f>
        <v>114.06558267716535</v>
      </c>
      <c r="G1524" s="1106"/>
      <c r="H1524" s="165"/>
    </row>
    <row r="1525" spans="1:8">
      <c r="A1525" s="1106"/>
      <c r="B1525" s="1111"/>
      <c r="C1525" s="1109"/>
      <c r="D1525" s="1106"/>
      <c r="E1525" s="1112" t="s">
        <v>463</v>
      </c>
      <c r="F1525" s="1112">
        <f>ROUND(F1524,1)</f>
        <v>114.1</v>
      </c>
      <c r="G1525" s="1113"/>
      <c r="H1525" s="165"/>
    </row>
    <row r="1526" spans="1:8">
      <c r="A1526" s="164"/>
      <c r="B1526" s="164"/>
      <c r="C1526" s="165"/>
      <c r="D1526" s="165"/>
      <c r="E1526" s="165"/>
      <c r="F1526" s="165"/>
      <c r="G1526" s="165"/>
      <c r="H1526" s="165"/>
    </row>
    <row r="1527" spans="1:8">
      <c r="A1527" s="164"/>
      <c r="B1527" s="164"/>
      <c r="C1527" s="165"/>
      <c r="D1527" s="165"/>
      <c r="E1527" s="165"/>
      <c r="F1527" s="165"/>
      <c r="G1527" s="165"/>
      <c r="H1527" s="165"/>
    </row>
    <row r="1528" spans="1:8">
      <c r="A1528" s="164"/>
      <c r="B1528" s="164"/>
      <c r="C1528" s="165"/>
      <c r="D1528" s="165"/>
      <c r="E1528" s="165"/>
      <c r="F1528" s="165"/>
      <c r="G1528" s="165"/>
      <c r="H1528" s="165"/>
    </row>
  </sheetData>
  <mergeCells count="29">
    <mergeCell ref="C1437:D1437"/>
    <mergeCell ref="A1:F1"/>
    <mergeCell ref="B146:F146"/>
    <mergeCell ref="C776:D776"/>
    <mergeCell ref="C850:E850"/>
    <mergeCell ref="B1018:F1018"/>
    <mergeCell ref="C1405:D1405"/>
    <mergeCell ref="C1406:D1406"/>
    <mergeCell ref="C1410:D1410"/>
    <mergeCell ref="C1411:D1411"/>
    <mergeCell ref="C1412:D1412"/>
    <mergeCell ref="C1436:D1436"/>
    <mergeCell ref="C1489:D1489"/>
    <mergeCell ref="C1441:D1441"/>
    <mergeCell ref="C1442:D1442"/>
    <mergeCell ref="C1443:D1443"/>
    <mergeCell ref="B1444:F1444"/>
    <mergeCell ref="B1464:D1464"/>
    <mergeCell ref="C1483:D1483"/>
    <mergeCell ref="C1484:D1484"/>
    <mergeCell ref="C1485:D1485"/>
    <mergeCell ref="C1486:D1486"/>
    <mergeCell ref="C1487:D1487"/>
    <mergeCell ref="C1488:D1488"/>
    <mergeCell ref="C1490:D1490"/>
    <mergeCell ref="C1491:D1491"/>
    <mergeCell ref="C1492:D1492"/>
    <mergeCell ref="C1493:D1493"/>
    <mergeCell ref="C1494:D1494"/>
  </mergeCells>
  <printOptions horizontalCentered="1" gridLines="1"/>
  <pageMargins left="0.17716535433070901" right="0.17716535433070901" top="0.927165354" bottom="0.427165354" header="0.196850393700787" footer="0.196850393700787"/>
  <pageSetup paperSize="9" scale="85" firstPageNumber="119" orientation="portrait" useFirstPageNumber="1" verticalDpi="300" r:id="rId1"/>
  <headerFooter alignWithMargins="0">
    <oddHeader>&amp;C&amp;"Arial,Bold"&amp;12PROJECT:-&amp;"Arial,Regular"
PROPOSED CONSTRUCTION OF EMRS (Ekalavya Model Residential School)
 AT BIKRAMPUR, DIST:-RAYAGADA, ODISHA.</oddHeader>
    <oddFooter>&amp;L&amp;"Arial,Bold"&amp;11HSCL</oddFooter>
  </headerFooter>
  <rowBreaks count="1" manualBreakCount="1">
    <brk id="759"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7"/>
  <sheetViews>
    <sheetView view="pageBreakPreview" topLeftCell="A112" zoomScaleSheetLayoutView="100" workbookViewId="0">
      <selection activeCell="E16" sqref="E16"/>
    </sheetView>
  </sheetViews>
  <sheetFormatPr defaultRowHeight="12.75"/>
  <cols>
    <col min="1" max="1" width="3.7109375" style="9" bestFit="1" customWidth="1"/>
    <col min="2" max="2" width="48.5703125" customWidth="1"/>
    <col min="3" max="3" width="10.7109375" customWidth="1"/>
    <col min="4" max="4" width="5.85546875" customWidth="1"/>
    <col min="5" max="5" width="9.7109375" style="9" bestFit="1" customWidth="1"/>
    <col min="6" max="6" width="14.5703125" style="2" bestFit="1" customWidth="1"/>
  </cols>
  <sheetData>
    <row r="1" spans="1:6" s="20" customFormat="1" ht="64.5" customHeight="1">
      <c r="A1" s="1271" t="s">
        <v>1425</v>
      </c>
      <c r="B1" s="1271"/>
      <c r="C1" s="1271"/>
      <c r="D1" s="1271"/>
      <c r="E1" s="1271"/>
      <c r="F1" s="1271"/>
    </row>
    <row r="2" spans="1:6" s="20" customFormat="1" ht="15.75" customHeight="1">
      <c r="A2" s="453"/>
      <c r="B2" s="453"/>
      <c r="C2" s="453"/>
      <c r="D2" s="453"/>
      <c r="E2" s="453"/>
      <c r="F2" s="453"/>
    </row>
    <row r="3" spans="1:6" s="9" customFormat="1" ht="63.75">
      <c r="A3" s="315">
        <v>1</v>
      </c>
      <c r="B3" s="246" t="s">
        <v>427</v>
      </c>
      <c r="C3" s="317" t="e">
        <f>#REF!</f>
        <v>#REF!</v>
      </c>
      <c r="D3" s="100" t="s">
        <v>25</v>
      </c>
      <c r="E3" s="102">
        <f>ANALYSIS!F16</f>
        <v>89.2</v>
      </c>
      <c r="F3" s="317" t="e">
        <f>E3*C3</f>
        <v>#REF!</v>
      </c>
    </row>
    <row r="4" spans="1:6" s="366" customFormat="1">
      <c r="A4" s="315"/>
      <c r="B4" s="246"/>
      <c r="C4" s="317"/>
      <c r="D4" s="100"/>
      <c r="E4" s="102"/>
      <c r="F4" s="317"/>
    </row>
    <row r="5" spans="1:6" s="9" customFormat="1" ht="114.75">
      <c r="A5" s="101">
        <v>2</v>
      </c>
      <c r="B5" s="316" t="s">
        <v>405</v>
      </c>
      <c r="C5" s="102" t="e">
        <f>#REF!</f>
        <v>#REF!</v>
      </c>
      <c r="D5" s="100" t="s">
        <v>25</v>
      </c>
      <c r="E5" s="102">
        <f>ANALYSIS!F45</f>
        <v>275.60000000000002</v>
      </c>
      <c r="F5" s="317" t="e">
        <f>E5*C5</f>
        <v>#REF!</v>
      </c>
    </row>
    <row r="6" spans="1:6" s="9" customFormat="1">
      <c r="A6" s="101"/>
      <c r="B6" s="316"/>
      <c r="C6" s="102"/>
      <c r="D6" s="100"/>
      <c r="E6" s="102"/>
      <c r="F6" s="317"/>
    </row>
    <row r="7" spans="1:6" s="9" customFormat="1" ht="25.5">
      <c r="A7" s="101">
        <v>3</v>
      </c>
      <c r="B7" s="454" t="s">
        <v>428</v>
      </c>
      <c r="C7" s="102" t="e">
        <f>C3/3</f>
        <v>#REF!</v>
      </c>
      <c r="D7" s="100" t="s">
        <v>25</v>
      </c>
      <c r="E7" s="102">
        <f>(E3*2)/3</f>
        <v>59.466666666666669</v>
      </c>
      <c r="F7" s="317" t="e">
        <f>E7*C7</f>
        <v>#REF!</v>
      </c>
    </row>
    <row r="8" spans="1:6" s="9" customFormat="1">
      <c r="A8" s="101"/>
      <c r="B8" s="454"/>
      <c r="C8" s="102"/>
      <c r="D8" s="100"/>
      <c r="E8" s="102"/>
      <c r="F8" s="317"/>
    </row>
    <row r="9" spans="1:6" s="9" customFormat="1" ht="63.75">
      <c r="A9" s="101">
        <v>4</v>
      </c>
      <c r="B9" s="316" t="s">
        <v>406</v>
      </c>
      <c r="C9" s="102" t="e">
        <f>#REF!</f>
        <v>#REF!</v>
      </c>
      <c r="D9" s="100" t="s">
        <v>25</v>
      </c>
      <c r="E9" s="102">
        <f>ANALYSIS!F127</f>
        <v>4044.7</v>
      </c>
      <c r="F9" s="317" t="e">
        <f>E9*C9</f>
        <v>#REF!</v>
      </c>
    </row>
    <row r="10" spans="1:6" s="9" customFormat="1">
      <c r="A10" s="17"/>
      <c r="E10" s="20"/>
      <c r="F10" s="317"/>
    </row>
    <row r="11" spans="1:6" s="9" customFormat="1" ht="178.5">
      <c r="A11" s="455">
        <v>5</v>
      </c>
      <c r="B11" s="456" t="s">
        <v>1245</v>
      </c>
      <c r="C11" s="102" t="e">
        <f>#REF!</f>
        <v>#REF!</v>
      </c>
      <c r="D11" s="100" t="s">
        <v>25</v>
      </c>
      <c r="E11" s="102">
        <f>ANALYSIS!F172</f>
        <v>4226.8999999999996</v>
      </c>
      <c r="F11" s="317" t="e">
        <f>E11*C11</f>
        <v>#REF!</v>
      </c>
    </row>
    <row r="12" spans="1:6" s="9" customFormat="1">
      <c r="A12" s="17"/>
      <c r="E12" s="20"/>
      <c r="F12" s="317"/>
    </row>
    <row r="13" spans="1:6" s="20" customFormat="1" ht="51">
      <c r="A13" s="101">
        <v>6</v>
      </c>
      <c r="B13" s="156" t="s">
        <v>485</v>
      </c>
      <c r="C13" s="367"/>
      <c r="D13" s="367"/>
      <c r="E13" s="100"/>
      <c r="F13" s="180"/>
    </row>
    <row r="14" spans="1:6" s="20" customFormat="1">
      <c r="A14" s="101"/>
      <c r="B14" s="156"/>
      <c r="C14" s="367"/>
      <c r="D14" s="367"/>
      <c r="E14" s="100"/>
      <c r="F14" s="180"/>
    </row>
    <row r="15" spans="1:6" s="20" customFormat="1">
      <c r="A15" s="101" t="s">
        <v>424</v>
      </c>
      <c r="B15" s="460" t="s">
        <v>486</v>
      </c>
      <c r="C15" s="102"/>
      <c r="D15" s="100"/>
      <c r="E15" s="100"/>
      <c r="F15" s="180"/>
    </row>
    <row r="16" spans="1:6" s="20" customFormat="1">
      <c r="A16" s="101"/>
      <c r="B16" s="156" t="s">
        <v>1249</v>
      </c>
      <c r="C16" s="102" t="e">
        <f>#REF!+#REF!</f>
        <v>#REF!</v>
      </c>
      <c r="D16" s="100" t="s">
        <v>25</v>
      </c>
      <c r="E16" s="102">
        <f>ANALYSIS!F412</f>
        <v>5475.0535757248017</v>
      </c>
      <c r="F16" s="180" t="e">
        <f>E16*C16</f>
        <v>#REF!</v>
      </c>
    </row>
    <row r="17" spans="1:6" s="20" customFormat="1">
      <c r="A17" s="101"/>
      <c r="B17" s="617" t="s">
        <v>1246</v>
      </c>
      <c r="C17" s="184" t="e">
        <f>#REF!</f>
        <v>#REF!</v>
      </c>
      <c r="D17" s="55" t="s">
        <v>25</v>
      </c>
      <c r="E17" s="184">
        <f>ANALYSIS!F412</f>
        <v>5475.0535757248017</v>
      </c>
      <c r="F17" s="180" t="e">
        <f>E17*C17</f>
        <v>#REF!</v>
      </c>
    </row>
    <row r="18" spans="1:6" s="20" customFormat="1">
      <c r="A18" s="101"/>
      <c r="B18" s="156" t="s">
        <v>594</v>
      </c>
      <c r="C18" s="102" t="e">
        <f>#REF!</f>
        <v>#REF!</v>
      </c>
      <c r="D18" s="100" t="s">
        <v>25</v>
      </c>
      <c r="E18" s="102">
        <f>ANALYSIS!F429</f>
        <v>5873.1</v>
      </c>
      <c r="F18" s="180" t="e">
        <f>E18*C18</f>
        <v>#REF!</v>
      </c>
    </row>
    <row r="19" spans="1:6" s="20" customFormat="1">
      <c r="A19" s="101"/>
      <c r="B19" s="156"/>
      <c r="C19" s="102"/>
      <c r="D19" s="100"/>
      <c r="E19" s="102"/>
      <c r="F19" s="180"/>
    </row>
    <row r="20" spans="1:6" s="20" customFormat="1">
      <c r="A20" s="101" t="s">
        <v>425</v>
      </c>
      <c r="B20" s="460" t="s">
        <v>489</v>
      </c>
      <c r="C20" s="102"/>
      <c r="D20" s="100"/>
      <c r="E20" s="100"/>
      <c r="F20" s="180"/>
    </row>
    <row r="21" spans="1:6" s="20" customFormat="1">
      <c r="A21" s="101"/>
      <c r="B21" s="460" t="s">
        <v>490</v>
      </c>
      <c r="C21" s="102"/>
      <c r="D21" s="171"/>
      <c r="E21" s="100"/>
      <c r="F21" s="180"/>
    </row>
    <row r="22" spans="1:6" s="20" customFormat="1">
      <c r="A22" s="101"/>
      <c r="B22" s="156" t="s">
        <v>1051</v>
      </c>
      <c r="C22" s="102" t="e">
        <f>#REF!</f>
        <v>#REF!</v>
      </c>
      <c r="D22" s="100" t="s">
        <v>25</v>
      </c>
      <c r="E22" s="102">
        <f>ANALYSIS!F485</f>
        <v>9005.4</v>
      </c>
      <c r="F22" s="180" t="e">
        <f>E22*C22</f>
        <v>#REF!</v>
      </c>
    </row>
    <row r="23" spans="1:6" s="20" customFormat="1">
      <c r="A23" s="101"/>
      <c r="B23" s="156" t="s">
        <v>1214</v>
      </c>
      <c r="C23" s="102" t="e">
        <f>#REF!</f>
        <v>#REF!</v>
      </c>
      <c r="D23" s="100" t="s">
        <v>25</v>
      </c>
      <c r="E23" s="102">
        <f>ANALYSIS!F491</f>
        <v>10473.299999999999</v>
      </c>
      <c r="F23" s="180" t="e">
        <f>E23*C23</f>
        <v>#REF!</v>
      </c>
    </row>
    <row r="24" spans="1:6" s="20" customFormat="1">
      <c r="A24" s="101"/>
      <c r="B24" s="156" t="s">
        <v>1250</v>
      </c>
      <c r="C24" s="102" t="e">
        <f>#REF!</f>
        <v>#REF!</v>
      </c>
      <c r="D24" s="100" t="s">
        <v>25</v>
      </c>
      <c r="E24" s="102">
        <f>ANALYSIS!F497</f>
        <v>11549.5</v>
      </c>
      <c r="F24" s="180" t="e">
        <f>E24*C24</f>
        <v>#REF!</v>
      </c>
    </row>
    <row r="25" spans="1:6" s="20" customFormat="1">
      <c r="A25" s="101"/>
      <c r="B25" s="156"/>
      <c r="C25" s="102"/>
      <c r="D25" s="100"/>
      <c r="E25" s="102"/>
      <c r="F25" s="180"/>
    </row>
    <row r="26" spans="1:6" s="20" customFormat="1">
      <c r="A26" s="101"/>
      <c r="B26" s="460" t="s">
        <v>460</v>
      </c>
      <c r="C26" s="102"/>
      <c r="D26" s="100"/>
      <c r="E26" s="100"/>
      <c r="F26" s="180"/>
    </row>
    <row r="27" spans="1:6" s="20" customFormat="1">
      <c r="A27" s="101"/>
      <c r="B27" s="156" t="s">
        <v>1051</v>
      </c>
      <c r="C27" s="102" t="e">
        <f>#REF!</f>
        <v>#REF!</v>
      </c>
      <c r="D27" s="100" t="s">
        <v>25</v>
      </c>
      <c r="E27" s="102">
        <f>E22</f>
        <v>9005.4</v>
      </c>
      <c r="F27" s="180" t="e">
        <f>E27*C27</f>
        <v>#REF!</v>
      </c>
    </row>
    <row r="28" spans="1:6" s="20" customFormat="1">
      <c r="A28" s="101"/>
      <c r="B28" s="156" t="s">
        <v>1214</v>
      </c>
      <c r="C28" s="102" t="e">
        <f>#REF!</f>
        <v>#REF!</v>
      </c>
      <c r="D28" s="100" t="s">
        <v>25</v>
      </c>
      <c r="E28" s="102">
        <f>E23</f>
        <v>10473.299999999999</v>
      </c>
      <c r="F28" s="180" t="e">
        <f>E28*C28</f>
        <v>#REF!</v>
      </c>
    </row>
    <row r="29" spans="1:6" s="20" customFormat="1">
      <c r="A29" s="101"/>
      <c r="B29" s="156" t="s">
        <v>1250</v>
      </c>
      <c r="C29" s="102" t="e">
        <f>#REF!</f>
        <v>#REF!</v>
      </c>
      <c r="D29" s="100" t="s">
        <v>25</v>
      </c>
      <c r="E29" s="102">
        <f>E24</f>
        <v>11549.5</v>
      </c>
      <c r="F29" s="180" t="e">
        <f>E29*C29</f>
        <v>#REF!</v>
      </c>
    </row>
    <row r="30" spans="1:6" s="20" customFormat="1">
      <c r="A30" s="101"/>
      <c r="B30" s="156"/>
      <c r="C30" s="102"/>
      <c r="D30" s="100"/>
      <c r="E30" s="102"/>
      <c r="F30" s="180"/>
    </row>
    <row r="31" spans="1:6" s="20" customFormat="1">
      <c r="A31" s="101"/>
      <c r="B31" s="460" t="s">
        <v>651</v>
      </c>
      <c r="C31" s="102"/>
      <c r="D31" s="100"/>
      <c r="E31" s="100"/>
      <c r="F31" s="180"/>
    </row>
    <row r="32" spans="1:6" s="20" customFormat="1">
      <c r="A32" s="101"/>
      <c r="B32" s="156" t="s">
        <v>1051</v>
      </c>
      <c r="C32" s="102" t="e">
        <f>#REF!</f>
        <v>#REF!</v>
      </c>
      <c r="D32" s="100" t="s">
        <v>25</v>
      </c>
      <c r="E32" s="102">
        <f>ANALYSIS!F448</f>
        <v>8513.4</v>
      </c>
      <c r="F32" s="180" t="e">
        <f>E32*C32</f>
        <v>#REF!</v>
      </c>
    </row>
    <row r="33" spans="1:6" s="20" customFormat="1">
      <c r="A33" s="101"/>
      <c r="B33" s="156" t="s">
        <v>1214</v>
      </c>
      <c r="C33" s="102" t="e">
        <f>#REF!</f>
        <v>#REF!</v>
      </c>
      <c r="D33" s="100" t="s">
        <v>25</v>
      </c>
      <c r="E33" s="102">
        <f>ANALYSIS!F454</f>
        <v>9199.9</v>
      </c>
      <c r="F33" s="180" t="e">
        <f>E33*C33</f>
        <v>#REF!</v>
      </c>
    </row>
    <row r="34" spans="1:6" s="20" customFormat="1">
      <c r="A34" s="101"/>
      <c r="B34" s="156" t="s">
        <v>1250</v>
      </c>
      <c r="C34" s="102" t="e">
        <f>#REF!</f>
        <v>#REF!</v>
      </c>
      <c r="D34" s="100" t="s">
        <v>25</v>
      </c>
      <c r="E34" s="102">
        <f>ANALYSIS!F460</f>
        <v>10021.700000000001</v>
      </c>
      <c r="F34" s="180" t="e">
        <f>E34*C34</f>
        <v>#REF!</v>
      </c>
    </row>
    <row r="35" spans="1:6" s="20" customFormat="1">
      <c r="A35" s="458"/>
      <c r="B35" s="618"/>
      <c r="C35" s="182"/>
      <c r="D35" s="177"/>
      <c r="E35" s="182"/>
      <c r="F35" s="342"/>
    </row>
    <row r="36" spans="1:6" s="20" customFormat="1">
      <c r="A36" s="101"/>
      <c r="B36" s="460" t="s">
        <v>974</v>
      </c>
      <c r="C36" s="102"/>
      <c r="D36" s="100"/>
      <c r="E36" s="100"/>
      <c r="F36" s="180"/>
    </row>
    <row r="37" spans="1:6" s="20" customFormat="1">
      <c r="A37" s="101"/>
      <c r="B37" s="156" t="s">
        <v>1051</v>
      </c>
      <c r="C37" s="102" t="e">
        <f>#REF!</f>
        <v>#REF!</v>
      </c>
      <c r="D37" s="100" t="s">
        <v>25</v>
      </c>
      <c r="E37" s="102">
        <f>ANALYSIS!F372</f>
        <v>8872</v>
      </c>
      <c r="F37" s="180" t="e">
        <f>E37*C37</f>
        <v>#REF!</v>
      </c>
    </row>
    <row r="38" spans="1:6" s="20" customFormat="1">
      <c r="A38" s="101"/>
      <c r="B38" s="156" t="s">
        <v>1214</v>
      </c>
      <c r="C38" s="102" t="e">
        <f>#REF!</f>
        <v>#REF!</v>
      </c>
      <c r="D38" s="100" t="s">
        <v>25</v>
      </c>
      <c r="E38" s="102">
        <f>ANALYSIS!F378</f>
        <v>9630.2999999999993</v>
      </c>
      <c r="F38" s="180" t="e">
        <f>E38*C38</f>
        <v>#REF!</v>
      </c>
    </row>
    <row r="39" spans="1:6" s="20" customFormat="1">
      <c r="A39" s="101"/>
      <c r="B39" s="156" t="s">
        <v>1250</v>
      </c>
      <c r="C39" s="102" t="e">
        <f>#REF!</f>
        <v>#REF!</v>
      </c>
      <c r="D39" s="100" t="s">
        <v>25</v>
      </c>
      <c r="E39" s="102">
        <f>ANALYSIS!F384</f>
        <v>10538.5</v>
      </c>
      <c r="F39" s="180" t="e">
        <f>E39*C39</f>
        <v>#REF!</v>
      </c>
    </row>
    <row r="40" spans="1:6" s="20" customFormat="1">
      <c r="A40" s="101"/>
      <c r="B40" s="156"/>
      <c r="C40" s="102"/>
      <c r="D40" s="100"/>
      <c r="E40" s="102"/>
      <c r="F40" s="180"/>
    </row>
    <row r="41" spans="1:6" s="20" customFormat="1">
      <c r="A41" s="101"/>
      <c r="B41" s="156"/>
      <c r="C41" s="102"/>
      <c r="D41" s="100"/>
      <c r="E41" s="102"/>
      <c r="F41" s="180"/>
    </row>
    <row r="42" spans="1:6" s="20" customFormat="1">
      <c r="A42" s="101"/>
      <c r="B42" s="460" t="s">
        <v>975</v>
      </c>
      <c r="C42" s="102"/>
      <c r="D42" s="100"/>
      <c r="E42" s="100"/>
      <c r="F42" s="180"/>
    </row>
    <row r="43" spans="1:6" s="20" customFormat="1">
      <c r="A43" s="101"/>
      <c r="B43" s="156" t="s">
        <v>1051</v>
      </c>
      <c r="C43" s="102" t="e">
        <f>#REF!</f>
        <v>#REF!</v>
      </c>
      <c r="D43" s="100" t="s">
        <v>32</v>
      </c>
      <c r="E43" s="102">
        <f>ANALYSIS!F524</f>
        <v>700.3</v>
      </c>
      <c r="F43" s="180" t="e">
        <f>E43*C43</f>
        <v>#REF!</v>
      </c>
    </row>
    <row r="44" spans="1:6" s="20" customFormat="1">
      <c r="A44" s="101"/>
      <c r="B44" s="156" t="s">
        <v>1214</v>
      </c>
      <c r="C44" s="102" t="e">
        <f>#REF!</f>
        <v>#REF!</v>
      </c>
      <c r="D44" s="100" t="s">
        <v>32</v>
      </c>
      <c r="E44" s="102">
        <f>ANALYSIS!F529</f>
        <v>774.26552700000002</v>
      </c>
      <c r="F44" s="180" t="e">
        <f>E44*C44</f>
        <v>#REF!</v>
      </c>
    </row>
    <row r="45" spans="1:6" s="20" customFormat="1">
      <c r="A45" s="101"/>
      <c r="B45" s="156"/>
      <c r="C45" s="102"/>
      <c r="D45" s="100"/>
      <c r="E45" s="102"/>
      <c r="F45" s="180"/>
    </row>
    <row r="46" spans="1:6" s="20" customFormat="1">
      <c r="A46" s="101"/>
      <c r="B46" s="460" t="s">
        <v>561</v>
      </c>
      <c r="C46" s="102"/>
      <c r="D46" s="100"/>
      <c r="E46" s="102"/>
      <c r="F46" s="180"/>
    </row>
    <row r="47" spans="1:6" s="20" customFormat="1">
      <c r="A47" s="101"/>
      <c r="B47" s="156" t="s">
        <v>1051</v>
      </c>
      <c r="C47" s="102" t="e">
        <f>#REF!</f>
        <v>#REF!</v>
      </c>
      <c r="D47" s="100" t="s">
        <v>25</v>
      </c>
      <c r="E47" s="102">
        <f>ANALYSIS!F393</f>
        <v>8544.1</v>
      </c>
      <c r="F47" s="180" t="e">
        <f>E47*C47</f>
        <v>#REF!</v>
      </c>
    </row>
    <row r="48" spans="1:6" s="20" customFormat="1">
      <c r="A48" s="101"/>
      <c r="B48" s="156" t="s">
        <v>1214</v>
      </c>
      <c r="C48" s="102" t="e">
        <f>#REF!</f>
        <v>#REF!</v>
      </c>
      <c r="D48" s="100" t="s">
        <v>25</v>
      </c>
      <c r="E48" s="102">
        <f>ANALYSIS!F399</f>
        <v>9236.2999999999993</v>
      </c>
      <c r="F48" s="180" t="e">
        <f>E48*C48</f>
        <v>#REF!</v>
      </c>
    </row>
    <row r="49" spans="1:9" s="20" customFormat="1">
      <c r="A49" s="101"/>
      <c r="B49" s="156"/>
      <c r="C49" s="102"/>
      <c r="D49" s="100"/>
      <c r="E49" s="100"/>
      <c r="F49" s="180"/>
    </row>
    <row r="50" spans="1:9" s="9" customFormat="1" ht="51">
      <c r="A50" s="101">
        <v>7</v>
      </c>
      <c r="B50" s="156" t="s">
        <v>976</v>
      </c>
    </row>
    <row r="51" spans="1:9" s="9" customFormat="1">
      <c r="A51" s="101"/>
      <c r="B51" s="156" t="s">
        <v>1051</v>
      </c>
      <c r="C51" s="102" t="e">
        <f>#REF!</f>
        <v>#REF!</v>
      </c>
      <c r="D51" s="100" t="s">
        <v>127</v>
      </c>
      <c r="E51" s="102">
        <f>ANALYSIS!F585</f>
        <v>5484.2</v>
      </c>
      <c r="F51" s="180" t="e">
        <f>E51*C51</f>
        <v>#REF!</v>
      </c>
    </row>
    <row r="52" spans="1:9" s="9" customFormat="1">
      <c r="A52" s="101"/>
      <c r="B52" s="156" t="s">
        <v>1214</v>
      </c>
      <c r="C52" s="102" t="e">
        <f>#REF!</f>
        <v>#REF!</v>
      </c>
      <c r="D52" s="100" t="s">
        <v>127</v>
      </c>
      <c r="E52" s="102">
        <f>ANALYSIS!F590</f>
        <v>5498.4</v>
      </c>
      <c r="F52" s="180" t="e">
        <f>E52*C52</f>
        <v>#REF!</v>
      </c>
    </row>
    <row r="53" spans="1:9" s="9" customFormat="1">
      <c r="A53" s="101"/>
      <c r="B53" s="156" t="s">
        <v>1250</v>
      </c>
      <c r="C53" s="102" t="e">
        <f>#REF!</f>
        <v>#REF!</v>
      </c>
      <c r="D53" s="100" t="s">
        <v>127</v>
      </c>
      <c r="E53" s="102">
        <f>ANALYSIS!F595</f>
        <v>5507.4</v>
      </c>
      <c r="F53" s="180" t="e">
        <f>E53*C53</f>
        <v>#REF!</v>
      </c>
    </row>
    <row r="54" spans="1:9" s="9" customFormat="1">
      <c r="A54" s="101"/>
      <c r="B54" s="156"/>
      <c r="E54" s="20"/>
      <c r="F54" s="18"/>
    </row>
    <row r="55" spans="1:9" s="9" customFormat="1" ht="153">
      <c r="A55" s="101">
        <v>8</v>
      </c>
      <c r="B55" s="440" t="s">
        <v>1247</v>
      </c>
      <c r="C55" s="171"/>
      <c r="D55" s="100"/>
      <c r="E55" s="100"/>
      <c r="F55" s="180"/>
    </row>
    <row r="56" spans="1:9" s="9" customFormat="1">
      <c r="A56" s="101"/>
      <c r="B56" s="156" t="s">
        <v>1051</v>
      </c>
      <c r="C56" s="102" t="e">
        <f>#REF!</f>
        <v>#REF!</v>
      </c>
      <c r="D56" s="100" t="s">
        <v>25</v>
      </c>
      <c r="E56" s="102">
        <f>ANALYSIS!F175</f>
        <v>4260.3</v>
      </c>
      <c r="F56" s="180" t="e">
        <f>E56*C56</f>
        <v>#REF!</v>
      </c>
    </row>
    <row r="57" spans="1:9" s="9" customFormat="1">
      <c r="A57" s="101"/>
      <c r="B57" s="316" t="s">
        <v>1214</v>
      </c>
      <c r="C57" s="102" t="e">
        <f>#REF!</f>
        <v>#REF!</v>
      </c>
      <c r="D57" s="100" t="s">
        <v>25</v>
      </c>
      <c r="E57" s="102">
        <f>ANALYSIS!F182</f>
        <v>4423.2</v>
      </c>
      <c r="F57" s="180" t="e">
        <f>E57*C57</f>
        <v>#REF!</v>
      </c>
    </row>
    <row r="58" spans="1:9" s="9" customFormat="1">
      <c r="A58" s="101"/>
      <c r="B58" s="316" t="s">
        <v>1205</v>
      </c>
      <c r="C58" s="102" t="e">
        <f>#REF!</f>
        <v>#REF!</v>
      </c>
      <c r="D58" s="100" t="s">
        <v>25</v>
      </c>
      <c r="E58" s="102">
        <f>ANALYSIS!F190</f>
        <v>4610.5</v>
      </c>
      <c r="F58" s="180" t="e">
        <f>E58*C58</f>
        <v>#REF!</v>
      </c>
    </row>
    <row r="59" spans="1:9" s="9" customFormat="1">
      <c r="A59" s="101"/>
      <c r="B59" s="316"/>
      <c r="C59" s="102"/>
      <c r="D59" s="100"/>
      <c r="E59" s="102"/>
      <c r="F59" s="180"/>
    </row>
    <row r="60" spans="1:9" s="9" customFormat="1" ht="140.25">
      <c r="A60" s="101">
        <v>9</v>
      </c>
      <c r="B60" s="181" t="s">
        <v>983</v>
      </c>
      <c r="C60" s="102"/>
      <c r="D60" s="100"/>
      <c r="E60" s="102"/>
      <c r="F60" s="317"/>
    </row>
    <row r="61" spans="1:9" s="9" customFormat="1">
      <c r="A61" s="101"/>
      <c r="B61" s="156" t="s">
        <v>1051</v>
      </c>
      <c r="C61" s="102" t="e">
        <f>#REF!</f>
        <v>#REF!</v>
      </c>
      <c r="D61" s="100" t="s">
        <v>32</v>
      </c>
      <c r="E61" s="102">
        <f>ANALYSIS!F648</f>
        <v>131.9</v>
      </c>
      <c r="F61" s="317" t="e">
        <f>E61*C61</f>
        <v>#REF!</v>
      </c>
    </row>
    <row r="62" spans="1:9" s="9" customFormat="1">
      <c r="A62" s="101"/>
      <c r="B62" s="156" t="s">
        <v>1214</v>
      </c>
      <c r="C62" s="102" t="e">
        <f>#REF!</f>
        <v>#REF!</v>
      </c>
      <c r="D62" s="100" t="s">
        <v>32</v>
      </c>
      <c r="E62" s="102">
        <f>ANALYSIS!F654</f>
        <v>134.9</v>
      </c>
      <c r="F62" s="317" t="e">
        <f>E62*C62</f>
        <v>#REF!</v>
      </c>
    </row>
    <row r="63" spans="1:9" s="9" customFormat="1">
      <c r="A63" s="101"/>
      <c r="B63" s="156" t="s">
        <v>1250</v>
      </c>
      <c r="C63" s="102" t="e">
        <f>#REF!</f>
        <v>#REF!</v>
      </c>
      <c r="D63" s="100" t="s">
        <v>32</v>
      </c>
      <c r="E63" s="102">
        <f>ANALYSIS!F659</f>
        <v>138</v>
      </c>
      <c r="F63" s="317" t="e">
        <f>E63*C63</f>
        <v>#REF!</v>
      </c>
    </row>
    <row r="64" spans="1:9" s="9" customFormat="1">
      <c r="A64" s="101"/>
      <c r="B64" s="156"/>
      <c r="C64" s="102"/>
      <c r="D64" s="100"/>
      <c r="E64" s="102"/>
      <c r="F64" s="317"/>
      <c r="I64" s="18"/>
    </row>
    <row r="65" spans="1:13" s="9" customFormat="1" ht="140.25">
      <c r="A65" s="101">
        <v>10</v>
      </c>
      <c r="B65" s="156" t="s">
        <v>984</v>
      </c>
      <c r="C65" s="369"/>
      <c r="D65" s="244"/>
      <c r="E65" s="100"/>
      <c r="F65" s="317"/>
    </row>
    <row r="66" spans="1:13" s="9" customFormat="1">
      <c r="A66" s="101"/>
      <c r="B66" s="316" t="s">
        <v>1051</v>
      </c>
      <c r="C66" s="102" t="e">
        <f>#REF!</f>
        <v>#REF!</v>
      </c>
      <c r="D66" s="100" t="s">
        <v>32</v>
      </c>
      <c r="E66" s="102">
        <f>ANALYSIS!F679</f>
        <v>138.30000000000001</v>
      </c>
      <c r="F66" s="317" t="e">
        <f>E66*C66</f>
        <v>#REF!</v>
      </c>
    </row>
    <row r="67" spans="1:13" s="9" customFormat="1">
      <c r="A67" s="101"/>
      <c r="B67" s="316" t="s">
        <v>1214</v>
      </c>
      <c r="C67" s="102" t="e">
        <f>#REF!</f>
        <v>#REF!</v>
      </c>
      <c r="D67" s="100" t="s">
        <v>32</v>
      </c>
      <c r="E67" s="102">
        <f>ANALYSIS!F684</f>
        <v>141.30000000000001</v>
      </c>
      <c r="F67" s="317" t="e">
        <f>E67*C67</f>
        <v>#REF!</v>
      </c>
      <c r="J67" s="18"/>
      <c r="M67" s="18"/>
    </row>
    <row r="68" spans="1:13" s="9" customFormat="1">
      <c r="A68" s="101"/>
      <c r="B68" s="316" t="s">
        <v>1205</v>
      </c>
      <c r="C68" s="102" t="e">
        <f>#REF!</f>
        <v>#REF!</v>
      </c>
      <c r="D68" s="100" t="s">
        <v>32</v>
      </c>
      <c r="E68" s="102">
        <f>ANALYSIS!F689</f>
        <v>144.30000000000001</v>
      </c>
      <c r="F68" s="317" t="e">
        <f>E68*C68</f>
        <v>#REF!</v>
      </c>
    </row>
    <row r="69" spans="1:13" s="9" customFormat="1">
      <c r="A69" s="101"/>
      <c r="B69" s="316"/>
      <c r="C69" s="102"/>
      <c r="D69" s="100"/>
      <c r="E69" s="100"/>
      <c r="F69" s="317"/>
    </row>
    <row r="70" spans="1:13" s="9" customFormat="1" ht="165.75">
      <c r="A70" s="101">
        <v>11</v>
      </c>
      <c r="B70" s="156" t="s">
        <v>985</v>
      </c>
      <c r="C70" s="102"/>
      <c r="D70" s="100"/>
      <c r="E70" s="100"/>
      <c r="F70" s="317"/>
    </row>
    <row r="71" spans="1:13" s="9" customFormat="1">
      <c r="A71" s="101"/>
      <c r="B71" s="316" t="s">
        <v>1051</v>
      </c>
      <c r="C71" s="102" t="e">
        <f>#REF!</f>
        <v>#REF!</v>
      </c>
      <c r="D71" s="100" t="s">
        <v>32</v>
      </c>
      <c r="E71" s="102">
        <f>ANALYSIS!F618</f>
        <v>109.2</v>
      </c>
      <c r="F71" s="317" t="e">
        <f>E71*C71</f>
        <v>#REF!</v>
      </c>
    </row>
    <row r="72" spans="1:13" s="9" customFormat="1">
      <c r="A72" s="101"/>
      <c r="B72" s="316" t="s">
        <v>1214</v>
      </c>
      <c r="C72" s="102" t="e">
        <f>#REF!</f>
        <v>#REF!</v>
      </c>
      <c r="D72" s="100" t="s">
        <v>32</v>
      </c>
      <c r="E72" s="102">
        <f>ANALYSIS!F623</f>
        <v>111.5</v>
      </c>
      <c r="F72" s="317" t="e">
        <f>E72*C72</f>
        <v>#REF!</v>
      </c>
    </row>
    <row r="73" spans="1:13" s="9" customFormat="1">
      <c r="A73" s="101"/>
      <c r="B73" s="316" t="s">
        <v>1250</v>
      </c>
      <c r="C73" s="102" t="e">
        <f>#REF!</f>
        <v>#REF!</v>
      </c>
      <c r="D73" s="100" t="s">
        <v>32</v>
      </c>
      <c r="E73" s="102">
        <f>ANALYSIS!F628</f>
        <v>113.9</v>
      </c>
      <c r="F73" s="317" t="e">
        <f>E73*C73</f>
        <v>#REF!</v>
      </c>
    </row>
    <row r="74" spans="1:13" s="9" customFormat="1">
      <c r="A74" s="101"/>
      <c r="B74" s="316"/>
      <c r="C74" s="102"/>
      <c r="D74" s="100"/>
      <c r="E74" s="102"/>
      <c r="F74" s="317"/>
    </row>
    <row r="75" spans="1:13" s="9" customFormat="1" ht="51">
      <c r="A75" s="101">
        <v>12</v>
      </c>
      <c r="B75" s="156" t="s">
        <v>1045</v>
      </c>
      <c r="C75" s="102" t="e">
        <f>#REF!</f>
        <v>#REF!</v>
      </c>
      <c r="D75" s="100" t="s">
        <v>32</v>
      </c>
      <c r="E75" s="102">
        <f>ANALYSIS!F854</f>
        <v>240.83788854999997</v>
      </c>
      <c r="F75" s="317" t="e">
        <f>E75*C75</f>
        <v>#REF!</v>
      </c>
    </row>
    <row r="76" spans="1:13" s="9" customFormat="1">
      <c r="A76" s="101"/>
      <c r="B76" s="431"/>
      <c r="C76" s="102"/>
      <c r="D76" s="100"/>
      <c r="E76" s="102"/>
      <c r="F76" s="317"/>
    </row>
    <row r="77" spans="1:13" s="9" customFormat="1" ht="63.75">
      <c r="A77" s="101">
        <v>13</v>
      </c>
      <c r="B77" s="156" t="s">
        <v>1469</v>
      </c>
      <c r="C77" s="102" t="e">
        <f>#REF!</f>
        <v>#REF!</v>
      </c>
      <c r="D77" s="100" t="s">
        <v>32</v>
      </c>
      <c r="E77" s="102">
        <f>('ANALYSIS (2)'!F758+'ANALYSIS (2)'!F758)/2</f>
        <v>129.80000000000001</v>
      </c>
      <c r="F77" s="317" t="e">
        <f>E77*C77</f>
        <v>#REF!</v>
      </c>
    </row>
    <row r="78" spans="1:13" s="9" customFormat="1">
      <c r="A78" s="101"/>
      <c r="B78" s="316"/>
      <c r="E78" s="20"/>
    </row>
    <row r="79" spans="1:13" s="9" customFormat="1" ht="123.75">
      <c r="A79" s="101">
        <v>14</v>
      </c>
      <c r="B79" s="316" t="s">
        <v>1248</v>
      </c>
      <c r="C79" s="102"/>
      <c r="D79" s="100"/>
      <c r="E79" s="100"/>
      <c r="F79" s="317"/>
    </row>
    <row r="80" spans="1:13" s="9" customFormat="1">
      <c r="A80" s="101"/>
      <c r="B80" s="316" t="s">
        <v>1051</v>
      </c>
      <c r="C80" s="102" t="e">
        <f>#REF!</f>
        <v>#REF!</v>
      </c>
      <c r="D80" s="100" t="s">
        <v>32</v>
      </c>
      <c r="E80" s="102">
        <f>ANALYSIS!F909</f>
        <v>680.3</v>
      </c>
      <c r="F80" s="317" t="e">
        <f>E80*C80</f>
        <v>#REF!</v>
      </c>
    </row>
    <row r="81" spans="1:6" s="9" customFormat="1">
      <c r="A81" s="101"/>
      <c r="B81" s="316" t="s">
        <v>1214</v>
      </c>
      <c r="C81" s="102" t="e">
        <f>#REF!</f>
        <v>#REF!</v>
      </c>
      <c r="D81" s="100" t="s">
        <v>32</v>
      </c>
      <c r="E81" s="102">
        <f>ANALYSIS!F915</f>
        <v>688.9</v>
      </c>
      <c r="F81" s="317" t="e">
        <f>E81*C81</f>
        <v>#REF!</v>
      </c>
    </row>
    <row r="82" spans="1:6" s="9" customFormat="1">
      <c r="A82" s="101"/>
      <c r="B82" s="316"/>
      <c r="C82" s="102"/>
      <c r="D82" s="100"/>
      <c r="E82" s="102"/>
      <c r="F82" s="317"/>
    </row>
    <row r="83" spans="1:6" s="9" customFormat="1" ht="63.75">
      <c r="A83" s="101">
        <v>15</v>
      </c>
      <c r="B83" s="316" t="s">
        <v>160</v>
      </c>
      <c r="C83" s="102"/>
      <c r="D83" s="100"/>
      <c r="E83" s="102"/>
      <c r="F83" s="317"/>
    </row>
    <row r="84" spans="1:6" s="9" customFormat="1">
      <c r="A84" s="101"/>
      <c r="B84" s="316" t="s">
        <v>1051</v>
      </c>
      <c r="C84" s="102" t="e">
        <f>#REF!</f>
        <v>#REF!</v>
      </c>
      <c r="D84" s="100" t="s">
        <v>32</v>
      </c>
      <c r="E84" s="102">
        <f>ANALYSIS!F877</f>
        <v>763.4</v>
      </c>
      <c r="F84" s="317" t="e">
        <f>E84*C84</f>
        <v>#REF!</v>
      </c>
    </row>
    <row r="85" spans="1:6" s="9" customFormat="1">
      <c r="A85" s="101"/>
      <c r="B85" s="316" t="s">
        <v>1214</v>
      </c>
      <c r="C85" s="102" t="e">
        <f>#REF!</f>
        <v>#REF!</v>
      </c>
      <c r="D85" s="100" t="s">
        <v>32</v>
      </c>
      <c r="E85" s="102">
        <f>ANALYSIS!F882</f>
        <v>769.2</v>
      </c>
      <c r="F85" s="317" t="e">
        <f>E85*C85</f>
        <v>#REF!</v>
      </c>
    </row>
    <row r="86" spans="1:6" s="9" customFormat="1">
      <c r="A86" s="101"/>
      <c r="B86" s="316"/>
      <c r="C86" s="102"/>
      <c r="D86" s="100"/>
      <c r="E86" s="102"/>
      <c r="F86" s="317"/>
    </row>
    <row r="87" spans="1:6" s="20" customFormat="1" ht="25.5">
      <c r="A87" s="101">
        <v>16</v>
      </c>
      <c r="B87" s="156" t="s">
        <v>435</v>
      </c>
      <c r="C87" s="156"/>
      <c r="D87" s="156"/>
      <c r="E87" s="156"/>
      <c r="F87" s="156"/>
    </row>
    <row r="88" spans="1:6" s="20" customFormat="1">
      <c r="A88" s="101"/>
      <c r="B88" s="156" t="s">
        <v>1051</v>
      </c>
      <c r="C88" s="102" t="e">
        <f>#REF!</f>
        <v>#REF!</v>
      </c>
      <c r="D88" s="100" t="s">
        <v>32</v>
      </c>
      <c r="E88" s="102">
        <f>ANALYSIS!F1465</f>
        <v>990.1</v>
      </c>
      <c r="F88" s="180" t="e">
        <f>E88*C88</f>
        <v>#REF!</v>
      </c>
    </row>
    <row r="89" spans="1:6" s="20" customFormat="1">
      <c r="A89" s="101"/>
      <c r="B89" s="156"/>
      <c r="C89" s="102"/>
      <c r="D89" s="100"/>
      <c r="E89" s="102"/>
      <c r="F89" s="180"/>
    </row>
    <row r="90" spans="1:6" s="9" customFormat="1">
      <c r="A90" s="101"/>
      <c r="B90" s="316"/>
      <c r="C90" s="102"/>
      <c r="D90" s="100"/>
      <c r="E90" s="102"/>
      <c r="F90" s="317"/>
    </row>
    <row r="91" spans="1:6" s="9" customFormat="1" ht="78" customHeight="1">
      <c r="A91" s="101">
        <v>17</v>
      </c>
      <c r="B91" s="316" t="s">
        <v>1312</v>
      </c>
      <c r="C91" s="316"/>
      <c r="E91" s="102"/>
      <c r="F91" s="317"/>
    </row>
    <row r="92" spans="1:6" s="9" customFormat="1">
      <c r="A92" s="101"/>
      <c r="B92" s="316" t="s">
        <v>1051</v>
      </c>
      <c r="C92" s="476" t="e">
        <f>#REF!+#REF!+#REF!</f>
        <v>#REF!</v>
      </c>
      <c r="D92" s="100" t="s">
        <v>32</v>
      </c>
      <c r="E92" s="102">
        <f>ANALYSIS!G1486</f>
        <v>365.4</v>
      </c>
      <c r="F92" s="317" t="e">
        <f>E92*C92</f>
        <v>#REF!</v>
      </c>
    </row>
    <row r="93" spans="1:6" s="9" customFormat="1">
      <c r="A93" s="101"/>
      <c r="B93" s="316" t="s">
        <v>1214</v>
      </c>
      <c r="C93" s="476" t="e">
        <f>#REF!</f>
        <v>#REF!</v>
      </c>
      <c r="D93" s="100" t="s">
        <v>32</v>
      </c>
      <c r="E93" s="102">
        <f>ANALYSIS!G1491</f>
        <v>373.6</v>
      </c>
      <c r="F93" s="317" t="e">
        <f>E93*C93</f>
        <v>#REF!</v>
      </c>
    </row>
    <row r="94" spans="1:6" s="9" customFormat="1">
      <c r="A94" s="101"/>
      <c r="B94" s="316"/>
      <c r="C94" s="102"/>
      <c r="D94" s="100"/>
      <c r="E94" s="102"/>
      <c r="F94" s="317"/>
    </row>
    <row r="95" spans="1:6" s="9" customFormat="1" ht="114.75">
      <c r="A95" s="101">
        <v>18</v>
      </c>
      <c r="B95" s="156" t="s">
        <v>1055</v>
      </c>
      <c r="C95" s="102" t="e">
        <f>#REF!</f>
        <v>#REF!</v>
      </c>
      <c r="D95" s="100" t="s">
        <v>447</v>
      </c>
      <c r="E95" s="102">
        <f>ANALYSIS!F777</f>
        <v>71.099999999999994</v>
      </c>
      <c r="F95" s="317" t="e">
        <f>E95*C95</f>
        <v>#REF!</v>
      </c>
    </row>
    <row r="96" spans="1:6" s="445" customFormat="1">
      <c r="A96" s="101"/>
      <c r="B96" s="316"/>
      <c r="C96" s="370"/>
      <c r="D96" s="100"/>
      <c r="E96" s="102"/>
      <c r="F96" s="317"/>
    </row>
    <row r="97" spans="1:9" s="445" customFormat="1" ht="89.25">
      <c r="A97" s="101">
        <v>19</v>
      </c>
      <c r="B97" s="335" t="s">
        <v>981</v>
      </c>
      <c r="C97" s="102" t="e">
        <f>#REF!</f>
        <v>#REF!</v>
      </c>
      <c r="D97" s="100" t="s">
        <v>447</v>
      </c>
      <c r="E97" s="102">
        <f>ANALYSIS!F1191</f>
        <v>437</v>
      </c>
      <c r="F97" s="317" t="e">
        <f>E97*C97</f>
        <v>#REF!</v>
      </c>
    </row>
    <row r="98" spans="1:9" s="445" customFormat="1">
      <c r="A98" s="101"/>
      <c r="B98" s="335"/>
      <c r="C98" s="102"/>
      <c r="D98" s="100"/>
      <c r="E98" s="102"/>
      <c r="F98" s="317"/>
    </row>
    <row r="99" spans="1:9" s="445" customFormat="1" ht="102">
      <c r="A99" s="101">
        <v>20</v>
      </c>
      <c r="B99" s="156" t="s">
        <v>462</v>
      </c>
      <c r="C99" s="102"/>
      <c r="D99" s="100"/>
      <c r="E99" s="102"/>
      <c r="F99" s="317"/>
    </row>
    <row r="100" spans="1:9" s="445" customFormat="1">
      <c r="A100" s="101"/>
      <c r="B100" s="156" t="s">
        <v>1051</v>
      </c>
      <c r="C100" s="102" t="e">
        <f>#REF!</f>
        <v>#REF!</v>
      </c>
      <c r="D100" s="100" t="s">
        <v>434</v>
      </c>
      <c r="E100" s="102">
        <f>ANALYSIS!F800</f>
        <v>3358</v>
      </c>
      <c r="F100" s="317" t="e">
        <f>E100*C100</f>
        <v>#REF!</v>
      </c>
    </row>
    <row r="101" spans="1:9" s="445" customFormat="1">
      <c r="A101" s="101"/>
      <c r="B101" s="156" t="s">
        <v>1214</v>
      </c>
      <c r="C101" s="102" t="e">
        <f>#REF!</f>
        <v>#REF!</v>
      </c>
      <c r="D101" s="100" t="s">
        <v>434</v>
      </c>
      <c r="E101" s="102">
        <f>ANALYSIS!F806</f>
        <v>3360.9</v>
      </c>
      <c r="F101" s="317" t="e">
        <f>E101*C101</f>
        <v>#REF!</v>
      </c>
    </row>
    <row r="102" spans="1:9" s="9" customFormat="1">
      <c r="A102" s="101"/>
    </row>
    <row r="103" spans="1:9" s="9" customFormat="1" ht="127.5">
      <c r="A103" s="101">
        <v>21</v>
      </c>
      <c r="B103" s="156" t="s">
        <v>1056</v>
      </c>
      <c r="C103" s="102" t="e">
        <f>#REF!</f>
        <v>#REF!</v>
      </c>
      <c r="D103" s="100" t="s">
        <v>32</v>
      </c>
      <c r="E103" s="102">
        <f>(ANALYSIS!F1215+ANALYSIS!F1220)/2</f>
        <v>127.8</v>
      </c>
      <c r="F103" s="317" t="e">
        <f>E103*C103</f>
        <v>#REF!</v>
      </c>
    </row>
    <row r="104" spans="1:9" s="9" customFormat="1">
      <c r="A104" s="101"/>
      <c r="B104" s="156"/>
      <c r="C104" s="102"/>
      <c r="D104" s="100"/>
      <c r="E104" s="102"/>
      <c r="F104" s="317"/>
    </row>
    <row r="105" spans="1:9" s="9" customFormat="1" ht="51">
      <c r="A105" s="101">
        <v>22</v>
      </c>
      <c r="B105" s="156" t="s">
        <v>1253</v>
      </c>
      <c r="C105" s="102" t="e">
        <f>#REF!</f>
        <v>#REF!</v>
      </c>
      <c r="D105" s="100" t="s">
        <v>25</v>
      </c>
      <c r="E105" s="54">
        <v>68202.92</v>
      </c>
      <c r="F105" s="317" t="e">
        <f>E105*C105</f>
        <v>#REF!</v>
      </c>
    </row>
    <row r="106" spans="1:9" s="9" customFormat="1">
      <c r="A106" s="101"/>
      <c r="B106" s="316"/>
      <c r="I106" s="18"/>
    </row>
    <row r="107" spans="1:9" s="9" customFormat="1" ht="127.5">
      <c r="A107" s="101">
        <v>23</v>
      </c>
      <c r="B107" s="3" t="s">
        <v>1484</v>
      </c>
      <c r="C107" s="54" t="e">
        <f>#REF!</f>
        <v>#REF!</v>
      </c>
      <c r="D107" s="100" t="s">
        <v>836</v>
      </c>
      <c r="E107" s="102">
        <f>ANALYSIS!F1383</f>
        <v>5509</v>
      </c>
      <c r="F107" s="317" t="e">
        <f>E107*C107</f>
        <v>#REF!</v>
      </c>
    </row>
    <row r="108" spans="1:9" s="9" customFormat="1">
      <c r="A108" s="101"/>
      <c r="B108" s="333"/>
      <c r="C108" s="54"/>
      <c r="D108" s="54"/>
      <c r="E108" s="444"/>
      <c r="F108" s="317"/>
    </row>
    <row r="109" spans="1:9" ht="306">
      <c r="A109" s="133">
        <v>24</v>
      </c>
      <c r="B109" s="156" t="s">
        <v>650</v>
      </c>
      <c r="C109" s="180" t="e">
        <f>#REF!</f>
        <v>#REF!</v>
      </c>
      <c r="D109" s="180" t="s">
        <v>350</v>
      </c>
      <c r="E109" s="180">
        <v>2503</v>
      </c>
      <c r="F109" s="317" t="e">
        <f>E109*C109</f>
        <v>#REF!</v>
      </c>
    </row>
    <row r="110" spans="1:9">
      <c r="A110" s="101"/>
      <c r="B110" s="156"/>
      <c r="C110" s="54"/>
      <c r="D110" s="100"/>
      <c r="E110" s="444"/>
      <c r="F110" s="317"/>
    </row>
    <row r="111" spans="1:9" ht="165.75">
      <c r="A111" s="133">
        <v>25</v>
      </c>
      <c r="B111" s="181" t="s">
        <v>649</v>
      </c>
      <c r="C111" s="102" t="e">
        <f>#REF!</f>
        <v>#REF!</v>
      </c>
      <c r="D111" s="100" t="s">
        <v>434</v>
      </c>
      <c r="E111" s="16">
        <v>339.5</v>
      </c>
      <c r="F111" s="317" t="e">
        <f>E111*C111</f>
        <v>#REF!</v>
      </c>
    </row>
    <row r="112" spans="1:9">
      <c r="A112" s="101"/>
      <c r="B112" s="156"/>
      <c r="C112" s="54"/>
      <c r="D112" s="54"/>
      <c r="E112" s="305"/>
      <c r="F112" s="317"/>
    </row>
    <row r="113" spans="1:14" ht="193.5">
      <c r="A113" s="101">
        <v>26</v>
      </c>
      <c r="B113" s="1047" t="s">
        <v>1483</v>
      </c>
      <c r="C113" s="102" t="e">
        <f>#REF!</f>
        <v>#REF!</v>
      </c>
      <c r="D113" s="100" t="s">
        <v>447</v>
      </c>
      <c r="E113" s="180">
        <f>'ANALYSIS (2)'!F1525</f>
        <v>114.1</v>
      </c>
      <c r="F113" s="317" t="e">
        <f>E113*C113</f>
        <v>#REF!</v>
      </c>
      <c r="K113" s="1047"/>
      <c r="L113" s="1047"/>
      <c r="M113" s="1047"/>
      <c r="N113" s="1047"/>
    </row>
    <row r="114" spans="1:14">
      <c r="A114" s="101"/>
      <c r="B114" s="181"/>
      <c r="C114" s="102"/>
      <c r="D114" s="100"/>
      <c r="E114" s="102"/>
      <c r="F114" s="461"/>
    </row>
    <row r="115" spans="1:14">
      <c r="A115" s="17"/>
      <c r="B115" s="9"/>
      <c r="C115" s="18"/>
      <c r="D115" s="9"/>
      <c r="E115" s="135" t="s">
        <v>117</v>
      </c>
      <c r="F115" s="442" t="e">
        <f>SUM(F2:F114)</f>
        <v>#REF!</v>
      </c>
    </row>
    <row r="116" spans="1:14">
      <c r="A116" s="17"/>
      <c r="B116" s="9"/>
      <c r="C116" s="9"/>
      <c r="D116" s="9"/>
      <c r="E116" s="53" t="s">
        <v>120</v>
      </c>
      <c r="F116" s="479" t="e">
        <f>ROUND(F115,0)</f>
        <v>#REF!</v>
      </c>
    </row>
    <row r="117" spans="1:14">
      <c r="A117" s="17"/>
      <c r="B117" s="9"/>
      <c r="C117" s="9"/>
      <c r="D117" s="9"/>
      <c r="E117" s="53"/>
      <c r="F117" s="479"/>
    </row>
  </sheetData>
  <mergeCells count="1">
    <mergeCell ref="A1:F1"/>
  </mergeCells>
  <printOptions horizontalCentered="1" gridLines="1"/>
  <pageMargins left="0.427165354" right="0.427165354" top="1.177165354" bottom="0.927165354" header="0.31496062992126" footer="0.31496062992126"/>
  <pageSetup paperSize="9" fitToHeight="0" orientation="portrait" horizontalDpi="300" verticalDpi="300" r:id="rId1"/>
  <headerFooter>
    <oddHeader>&amp;C&amp;"Arial,Bold"&amp;12PROJECT:-&amp;"Arial,Regular"
PROPOSED CONSTRUCTION OF EMRS (Ekalavya Model Residential School)
 AT BIKRAMPUR, DIST:-RAYAGADA, ODISHA.</oddHeader>
    <oddFooter>&amp;L&amp;"Arial,Bold"&amp;11HSCL</oddFooter>
  </headerFooter>
  <rowBreaks count="2" manualBreakCount="2">
    <brk id="102" max="5" man="1"/>
    <brk id="110" max="5"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H18" sqref="H18"/>
    </sheetView>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6"/>
  <sheetViews>
    <sheetView view="pageBreakPreview" topLeftCell="A111" zoomScaleSheetLayoutView="100" workbookViewId="0">
      <selection activeCell="F112" sqref="F112"/>
    </sheetView>
  </sheetViews>
  <sheetFormatPr defaultRowHeight="12.75"/>
  <cols>
    <col min="1" max="1" width="3.7109375" style="9" bestFit="1" customWidth="1"/>
    <col min="2" max="2" width="48.5703125" customWidth="1"/>
    <col min="3" max="3" width="10.7109375" style="149" customWidth="1"/>
    <col min="4" max="4" width="5.85546875" customWidth="1"/>
    <col min="5" max="5" width="9.7109375" style="9" bestFit="1" customWidth="1"/>
    <col min="6" max="6" width="14.5703125" style="2" bestFit="1" customWidth="1"/>
  </cols>
  <sheetData>
    <row r="1" spans="1:6" s="20" customFormat="1" ht="51" customHeight="1">
      <c r="A1" s="1272" t="s">
        <v>1424</v>
      </c>
      <c r="B1" s="1272"/>
      <c r="C1" s="1272"/>
      <c r="D1" s="1272"/>
      <c r="E1" s="1272"/>
      <c r="F1" s="1272"/>
    </row>
    <row r="2" spans="1:6" s="20" customFormat="1" ht="15.75" customHeight="1">
      <c r="A2" s="453"/>
      <c r="B2" s="453"/>
      <c r="C2" s="453"/>
      <c r="D2" s="453"/>
      <c r="E2" s="453"/>
      <c r="F2" s="453"/>
    </row>
    <row r="3" spans="1:6" s="9" customFormat="1" ht="63.75">
      <c r="A3" s="315">
        <v>1</v>
      </c>
      <c r="B3" s="246" t="s">
        <v>427</v>
      </c>
      <c r="C3" s="180">
        <f>'Qnty(Hostel)'!G46</f>
        <v>1254.4844949859205</v>
      </c>
      <c r="D3" s="100" t="s">
        <v>25</v>
      </c>
      <c r="E3" s="102">
        <f>ANALYSIS!F16</f>
        <v>89.2</v>
      </c>
      <c r="F3" s="317">
        <f>E3*C3</f>
        <v>111900.01695274412</v>
      </c>
    </row>
    <row r="4" spans="1:6" s="366" customFormat="1">
      <c r="A4" s="315"/>
      <c r="B4" s="246"/>
      <c r="C4" s="180"/>
      <c r="D4" s="100"/>
      <c r="E4" s="102"/>
      <c r="F4" s="317"/>
    </row>
    <row r="5" spans="1:6" s="9" customFormat="1" ht="106.5" customHeight="1">
      <c r="A5" s="101">
        <v>2</v>
      </c>
      <c r="B5" s="316" t="s">
        <v>405</v>
      </c>
      <c r="C5" s="102">
        <f>'Qnty(Hostel)'!G140</f>
        <v>614.08629895210402</v>
      </c>
      <c r="D5" s="100" t="s">
        <v>25</v>
      </c>
      <c r="E5" s="102">
        <f>ANALYSIS!F45</f>
        <v>275.60000000000002</v>
      </c>
      <c r="F5" s="317">
        <f>E5*C5</f>
        <v>169242.18399119988</v>
      </c>
    </row>
    <row r="6" spans="1:6" s="9" customFormat="1">
      <c r="A6" s="101"/>
      <c r="B6" s="316"/>
      <c r="C6" s="102"/>
      <c r="D6" s="100"/>
      <c r="E6" s="102"/>
      <c r="F6" s="317"/>
    </row>
    <row r="7" spans="1:6" s="9" customFormat="1" ht="25.5">
      <c r="A7" s="101">
        <v>3</v>
      </c>
      <c r="B7" s="454" t="s">
        <v>428</v>
      </c>
      <c r="C7" s="102">
        <f>C3/3</f>
        <v>418.16149832864016</v>
      </c>
      <c r="D7" s="100" t="s">
        <v>25</v>
      </c>
      <c r="E7" s="102">
        <f>(E3*2)/3</f>
        <v>59.466666666666669</v>
      </c>
      <c r="F7" s="317">
        <f>E7*C7</f>
        <v>24866.670433943134</v>
      </c>
    </row>
    <row r="8" spans="1:6" s="9" customFormat="1">
      <c r="A8" s="101"/>
      <c r="B8" s="454"/>
      <c r="C8" s="102"/>
      <c r="D8" s="100"/>
      <c r="E8" s="102"/>
      <c r="F8" s="317"/>
    </row>
    <row r="9" spans="1:6" s="9" customFormat="1" ht="63.75">
      <c r="A9" s="101">
        <v>4</v>
      </c>
      <c r="B9" s="316" t="s">
        <v>406</v>
      </c>
      <c r="C9" s="102">
        <f>'Qnty(Hostel)'!G234</f>
        <v>167.064471584736</v>
      </c>
      <c r="D9" s="100" t="s">
        <v>25</v>
      </c>
      <c r="E9" s="102">
        <f>ANALYSIS!F127</f>
        <v>4044.7</v>
      </c>
      <c r="F9" s="317">
        <f>E9*C9</f>
        <v>675725.66821878171</v>
      </c>
    </row>
    <row r="10" spans="1:6" s="9" customFormat="1">
      <c r="A10" s="17"/>
      <c r="C10" s="20"/>
      <c r="E10" s="20"/>
      <c r="F10" s="317"/>
    </row>
    <row r="11" spans="1:6" s="9" customFormat="1" ht="178.5">
      <c r="A11" s="455">
        <v>5</v>
      </c>
      <c r="B11" s="456" t="s">
        <v>1245</v>
      </c>
      <c r="C11" s="102">
        <f>'Qnty(Hostel)'!G649</f>
        <v>78.12585</v>
      </c>
      <c r="D11" s="100" t="s">
        <v>25</v>
      </c>
      <c r="E11" s="102">
        <f>ANALYSIS!F172</f>
        <v>4226.8999999999996</v>
      </c>
      <c r="F11" s="317">
        <f>E11*C11</f>
        <v>330230.15536499996</v>
      </c>
    </row>
    <row r="12" spans="1:6" s="9" customFormat="1">
      <c r="A12" s="17"/>
      <c r="C12" s="20"/>
      <c r="E12" s="20"/>
      <c r="F12" s="317"/>
    </row>
    <row r="13" spans="1:6" s="9" customFormat="1" ht="51">
      <c r="A13" s="101">
        <v>6</v>
      </c>
      <c r="B13" s="316" t="s">
        <v>485</v>
      </c>
      <c r="C13" s="367"/>
      <c r="D13" s="367"/>
      <c r="E13" s="100"/>
      <c r="F13" s="317"/>
    </row>
    <row r="14" spans="1:6" s="9" customFormat="1">
      <c r="A14" s="101"/>
      <c r="B14" s="316"/>
      <c r="C14" s="367"/>
      <c r="D14" s="367"/>
      <c r="E14" s="100"/>
      <c r="F14" s="317"/>
    </row>
    <row r="15" spans="1:6" s="9" customFormat="1">
      <c r="A15" s="101" t="s">
        <v>424</v>
      </c>
      <c r="B15" s="368" t="s">
        <v>486</v>
      </c>
      <c r="C15" s="102"/>
      <c r="D15" s="100"/>
      <c r="E15" s="100"/>
      <c r="F15" s="317"/>
    </row>
    <row r="16" spans="1:6" s="9" customFormat="1">
      <c r="A16" s="101"/>
      <c r="B16" s="316" t="s">
        <v>1249</v>
      </c>
      <c r="C16" s="102">
        <f>'Qnty(Hostel)'!G247+'Qnty(Hostel)'!G256</f>
        <v>158.39550916446402</v>
      </c>
      <c r="D16" s="100" t="s">
        <v>25</v>
      </c>
      <c r="E16" s="102">
        <f>ANALYSIS!F412</f>
        <v>5475.0535757248017</v>
      </c>
      <c r="F16" s="317">
        <f>E16*C16</f>
        <v>867223.89882964932</v>
      </c>
    </row>
    <row r="17" spans="1:6" s="9" customFormat="1">
      <c r="A17" s="101"/>
      <c r="B17" s="457" t="s">
        <v>1246</v>
      </c>
      <c r="C17" s="184">
        <f>'Qnty(Hostel)'!G264</f>
        <v>14.503500000000001</v>
      </c>
      <c r="D17" s="55" t="s">
        <v>25</v>
      </c>
      <c r="E17" s="184">
        <f>ANALYSIS!F412</f>
        <v>5475.0535757248017</v>
      </c>
      <c r="F17" s="317">
        <f>E17*C17</f>
        <v>79407.439535524667</v>
      </c>
    </row>
    <row r="18" spans="1:6" s="9" customFormat="1">
      <c r="A18" s="101"/>
      <c r="B18" s="316" t="s">
        <v>594</v>
      </c>
      <c r="C18" s="102">
        <f>'Qnty(Hostel)'!G321</f>
        <v>71.718487500000023</v>
      </c>
      <c r="D18" s="100" t="s">
        <v>25</v>
      </c>
      <c r="E18" s="102">
        <f>ANALYSIS!F429</f>
        <v>5873.1</v>
      </c>
      <c r="F18" s="317">
        <f>E18*C18</f>
        <v>421209.84893625014</v>
      </c>
    </row>
    <row r="19" spans="1:6" s="9" customFormat="1">
      <c r="A19" s="101"/>
      <c r="B19" s="316"/>
      <c r="C19" s="102"/>
      <c r="D19" s="100"/>
      <c r="E19" s="102"/>
      <c r="F19" s="317"/>
    </row>
    <row r="20" spans="1:6" s="9" customFormat="1">
      <c r="A20" s="101" t="s">
        <v>425</v>
      </c>
      <c r="B20" s="368" t="s">
        <v>489</v>
      </c>
      <c r="C20" s="102"/>
      <c r="D20" s="100"/>
      <c r="E20" s="100"/>
      <c r="F20" s="317"/>
    </row>
    <row r="21" spans="1:6" s="9" customFormat="1">
      <c r="A21" s="101"/>
      <c r="B21" s="368" t="s">
        <v>490</v>
      </c>
      <c r="C21" s="102"/>
      <c r="D21" s="193"/>
      <c r="E21" s="100"/>
      <c r="F21" s="317"/>
    </row>
    <row r="22" spans="1:6" s="9" customFormat="1">
      <c r="A22" s="101"/>
      <c r="B22" s="316" t="s">
        <v>1051</v>
      </c>
      <c r="C22" s="102">
        <f>'Qnty(Hostel)'!G332</f>
        <v>43.5105</v>
      </c>
      <c r="D22" s="100" t="s">
        <v>25</v>
      </c>
      <c r="E22" s="102">
        <f>ANALYSIS!F485</f>
        <v>9005.4</v>
      </c>
      <c r="F22" s="317">
        <f>E22*C22</f>
        <v>391829.45669999998</v>
      </c>
    </row>
    <row r="23" spans="1:6" s="9" customFormat="1">
      <c r="A23" s="101"/>
      <c r="B23" s="316" t="s">
        <v>1214</v>
      </c>
      <c r="C23" s="102">
        <f>'Qnty(Hostel)'!G341</f>
        <v>41.530500000000004</v>
      </c>
      <c r="D23" s="100" t="s">
        <v>25</v>
      </c>
      <c r="E23" s="102">
        <f>ANALYSIS!F491</f>
        <v>10473.299999999999</v>
      </c>
      <c r="F23" s="317">
        <f>E23*C23</f>
        <v>434961.38565000001</v>
      </c>
    </row>
    <row r="24" spans="1:6" s="9" customFormat="1">
      <c r="A24" s="101"/>
      <c r="B24" s="316" t="s">
        <v>1250</v>
      </c>
      <c r="C24" s="102">
        <f>'Qnty(Hostel)'!G349</f>
        <v>1.1220000000000001</v>
      </c>
      <c r="D24" s="100" t="s">
        <v>25</v>
      </c>
      <c r="E24" s="102">
        <f>ANALYSIS!F497</f>
        <v>11549.5</v>
      </c>
      <c r="F24" s="317">
        <f>E24*C24</f>
        <v>12958.539000000001</v>
      </c>
    </row>
    <row r="25" spans="1:6" s="9" customFormat="1">
      <c r="A25" s="101"/>
      <c r="B25" s="316"/>
      <c r="C25" s="102"/>
      <c r="D25" s="100"/>
      <c r="E25" s="102"/>
      <c r="F25" s="317"/>
    </row>
    <row r="26" spans="1:6" s="20" customFormat="1">
      <c r="A26" s="101"/>
      <c r="B26" s="368" t="s">
        <v>460</v>
      </c>
      <c r="C26" s="102"/>
      <c r="D26" s="100"/>
      <c r="E26" s="100"/>
      <c r="F26" s="317"/>
    </row>
    <row r="27" spans="1:6" s="9" customFormat="1">
      <c r="A27" s="101"/>
      <c r="B27" s="316" t="s">
        <v>1051</v>
      </c>
      <c r="C27" s="102">
        <f>'Qnty(Hostel)'!G430</f>
        <v>52.911174249999966</v>
      </c>
      <c r="D27" s="100" t="s">
        <v>25</v>
      </c>
      <c r="E27" s="102">
        <f>E22</f>
        <v>9005.4</v>
      </c>
      <c r="F27" s="317">
        <f>E27*C27</f>
        <v>476486.28859094967</v>
      </c>
    </row>
    <row r="28" spans="1:6" s="9" customFormat="1">
      <c r="A28" s="101"/>
      <c r="B28" s="316" t="s">
        <v>1214</v>
      </c>
      <c r="C28" s="102">
        <f>'Qnty(Hostel)'!G492</f>
        <v>47.731755499999984</v>
      </c>
      <c r="D28" s="100" t="s">
        <v>25</v>
      </c>
      <c r="E28" s="102">
        <f>E23</f>
        <v>10473.299999999999</v>
      </c>
      <c r="F28" s="317">
        <f>E28*C28</f>
        <v>499908.99487814982</v>
      </c>
    </row>
    <row r="29" spans="1:6" s="9" customFormat="1">
      <c r="A29" s="101"/>
      <c r="B29" s="316" t="s">
        <v>1250</v>
      </c>
      <c r="C29" s="102">
        <f>'Qnty(Hostel)'!G499</f>
        <v>2.5951062500000002</v>
      </c>
      <c r="D29" s="100" t="s">
        <v>25</v>
      </c>
      <c r="E29" s="102">
        <f>E24</f>
        <v>11549.5</v>
      </c>
      <c r="F29" s="317">
        <f>E29*C29</f>
        <v>29972.179634375003</v>
      </c>
    </row>
    <row r="30" spans="1:6" s="9" customFormat="1">
      <c r="A30" s="101"/>
      <c r="B30" s="316"/>
      <c r="C30" s="102"/>
      <c r="D30" s="100"/>
      <c r="E30" s="102"/>
      <c r="F30" s="317"/>
    </row>
    <row r="31" spans="1:6" s="9" customFormat="1">
      <c r="A31" s="101"/>
      <c r="B31" s="368" t="s">
        <v>651</v>
      </c>
      <c r="C31" s="102"/>
      <c r="D31" s="100"/>
      <c r="E31" s="100"/>
      <c r="F31" s="317"/>
    </row>
    <row r="32" spans="1:6" s="9" customFormat="1">
      <c r="A32" s="101"/>
      <c r="B32" s="316" t="s">
        <v>1051</v>
      </c>
      <c r="C32" s="102">
        <f>'Qnty(Hostel)'!G553</f>
        <v>8.7735037499999997</v>
      </c>
      <c r="D32" s="100" t="s">
        <v>25</v>
      </c>
      <c r="E32" s="102">
        <f>ANALYSIS!F448</f>
        <v>8513.4</v>
      </c>
      <c r="F32" s="317">
        <f>E32*C32</f>
        <v>74692.346825249988</v>
      </c>
    </row>
    <row r="33" spans="1:6" s="9" customFormat="1">
      <c r="A33" s="101"/>
      <c r="B33" s="316" t="s">
        <v>1214</v>
      </c>
      <c r="C33" s="102">
        <f>'Qnty(Hostel)'!G571</f>
        <v>5.8396593750000001</v>
      </c>
      <c r="D33" s="100" t="s">
        <v>25</v>
      </c>
      <c r="E33" s="102">
        <f>ANALYSIS!F454</f>
        <v>9199.9</v>
      </c>
      <c r="F33" s="317">
        <f>E33*C33</f>
        <v>53724.282284062501</v>
      </c>
    </row>
    <row r="34" spans="1:6" s="9" customFormat="1">
      <c r="A34" s="101"/>
      <c r="B34" s="316" t="s">
        <v>1250</v>
      </c>
      <c r="C34" s="102">
        <f>'Qnty(Hostel)'!G576</f>
        <v>7.425000000000001E-2</v>
      </c>
      <c r="D34" s="100" t="s">
        <v>25</v>
      </c>
      <c r="E34" s="102">
        <f>ANALYSIS!F460</f>
        <v>10021.700000000001</v>
      </c>
      <c r="F34" s="317">
        <f>E34*C34</f>
        <v>744.1112250000001</v>
      </c>
    </row>
    <row r="35" spans="1:6" s="9" customFormat="1">
      <c r="A35" s="458"/>
      <c r="B35" s="362"/>
      <c r="C35" s="182"/>
      <c r="D35" s="177"/>
      <c r="E35" s="182"/>
      <c r="F35" s="459"/>
    </row>
    <row r="36" spans="1:6" s="9" customFormat="1">
      <c r="A36" s="101"/>
      <c r="B36" s="368" t="s">
        <v>974</v>
      </c>
      <c r="C36" s="102"/>
      <c r="D36" s="100"/>
      <c r="E36" s="100"/>
      <c r="F36" s="317"/>
    </row>
    <row r="37" spans="1:6" s="9" customFormat="1">
      <c r="A37" s="101"/>
      <c r="B37" s="316" t="s">
        <v>1051</v>
      </c>
      <c r="C37" s="102">
        <f>'Qnty(Hostel)'!G513</f>
        <v>150.2045840625</v>
      </c>
      <c r="D37" s="100" t="s">
        <v>25</v>
      </c>
      <c r="E37" s="102">
        <f>ANALYSIS!F372</f>
        <v>8872</v>
      </c>
      <c r="F37" s="317">
        <f>E37*C37</f>
        <v>1332615.0698025001</v>
      </c>
    </row>
    <row r="38" spans="1:6" s="9" customFormat="1">
      <c r="A38" s="101"/>
      <c r="B38" s="316" t="s">
        <v>1214</v>
      </c>
      <c r="C38" s="102">
        <f>'Qnty(Hostel)'!G524</f>
        <v>139.11693056249999</v>
      </c>
      <c r="D38" s="100" t="s">
        <v>25</v>
      </c>
      <c r="E38" s="102">
        <f>ANALYSIS!F378</f>
        <v>9630.2999999999993</v>
      </c>
      <c r="F38" s="317">
        <f>E38*C38</f>
        <v>1339737.7763960436</v>
      </c>
    </row>
    <row r="39" spans="1:6" s="9" customFormat="1">
      <c r="A39" s="101"/>
      <c r="B39" s="316" t="s">
        <v>1250</v>
      </c>
      <c r="C39" s="102">
        <f>'Qnty(Hostel)'!G528</f>
        <v>5.775055</v>
      </c>
      <c r="D39" s="100" t="s">
        <v>25</v>
      </c>
      <c r="E39" s="102">
        <f>ANALYSIS!F384</f>
        <v>10538.5</v>
      </c>
      <c r="F39" s="317">
        <f>E39*C39</f>
        <v>60860.417117500001</v>
      </c>
    </row>
    <row r="40" spans="1:6" s="9" customFormat="1">
      <c r="A40" s="101"/>
      <c r="B40" s="316"/>
      <c r="C40" s="102"/>
      <c r="D40" s="100"/>
      <c r="E40" s="102"/>
      <c r="F40" s="317"/>
    </row>
    <row r="41" spans="1:6" s="9" customFormat="1">
      <c r="A41" s="101"/>
      <c r="B41" s="316"/>
      <c r="C41" s="102"/>
      <c r="D41" s="100"/>
      <c r="E41" s="102"/>
      <c r="F41" s="317"/>
    </row>
    <row r="42" spans="1:6" s="9" customFormat="1">
      <c r="A42" s="101"/>
      <c r="B42" s="460" t="s">
        <v>975</v>
      </c>
      <c r="C42" s="102"/>
      <c r="D42" s="100"/>
      <c r="E42" s="100"/>
      <c r="F42" s="180"/>
    </row>
    <row r="43" spans="1:6" s="9" customFormat="1">
      <c r="A43" s="101"/>
      <c r="B43" s="156" t="s">
        <v>1051</v>
      </c>
      <c r="C43" s="102">
        <f>'Qnty(Hostel)'!G588</f>
        <v>42.371999999999993</v>
      </c>
      <c r="D43" s="100" t="s">
        <v>32</v>
      </c>
      <c r="E43" s="102">
        <f>ANALYSIS!F524</f>
        <v>700.3</v>
      </c>
      <c r="F43" s="180">
        <f>E43*C43</f>
        <v>29673.111599999993</v>
      </c>
    </row>
    <row r="44" spans="1:6" s="9" customFormat="1">
      <c r="A44" s="101"/>
      <c r="B44" s="316" t="s">
        <v>1214</v>
      </c>
      <c r="C44" s="102">
        <f>'Qnty(Hostel)'!G597</f>
        <v>39.798000000000002</v>
      </c>
      <c r="D44" s="100" t="s">
        <v>32</v>
      </c>
      <c r="E44" s="102">
        <f>ANALYSIS!F529</f>
        <v>774.26552700000002</v>
      </c>
      <c r="F44" s="180">
        <f>E44*C44</f>
        <v>30814.219443546001</v>
      </c>
    </row>
    <row r="45" spans="1:6" s="9" customFormat="1">
      <c r="A45" s="101"/>
      <c r="B45" s="316"/>
      <c r="C45" s="102"/>
      <c r="D45" s="100"/>
      <c r="E45" s="102"/>
      <c r="F45" s="180"/>
    </row>
    <row r="46" spans="1:6" s="9" customFormat="1">
      <c r="A46" s="101"/>
      <c r="B46" s="460" t="s">
        <v>561</v>
      </c>
      <c r="C46" s="102"/>
      <c r="D46" s="100"/>
      <c r="E46" s="102"/>
      <c r="F46" s="180"/>
    </row>
    <row r="47" spans="1:6" s="9" customFormat="1">
      <c r="A47" s="101"/>
      <c r="B47" s="156" t="s">
        <v>1051</v>
      </c>
      <c r="C47" s="102">
        <f>'Qnty(Hostel)'!G359</f>
        <v>6.58779264</v>
      </c>
      <c r="D47" s="100" t="s">
        <v>25</v>
      </c>
      <c r="E47" s="102">
        <f>ANALYSIS!F393</f>
        <v>8544.1</v>
      </c>
      <c r="F47" s="180">
        <f>E47*C47</f>
        <v>56286.759095424</v>
      </c>
    </row>
    <row r="48" spans="1:6" s="9" customFormat="1">
      <c r="A48" s="101"/>
      <c r="B48" s="316" t="s">
        <v>1214</v>
      </c>
      <c r="C48" s="102">
        <f>'Qnty(Hostel)'!G363</f>
        <v>6.58779264</v>
      </c>
      <c r="D48" s="100" t="s">
        <v>25</v>
      </c>
      <c r="E48" s="102">
        <f>ANALYSIS!F399</f>
        <v>9236.2999999999993</v>
      </c>
      <c r="F48" s="180">
        <f>E48*C48</f>
        <v>60846.829160831992</v>
      </c>
    </row>
    <row r="49" spans="1:6" s="9" customFormat="1">
      <c r="A49" s="101"/>
      <c r="B49" s="156"/>
      <c r="C49" s="102"/>
      <c r="D49" s="100"/>
      <c r="E49" s="100"/>
      <c r="F49" s="180"/>
    </row>
    <row r="50" spans="1:6" s="9" customFormat="1" ht="51">
      <c r="A50" s="101">
        <v>7</v>
      </c>
      <c r="B50" s="156" t="s">
        <v>976</v>
      </c>
      <c r="C50" s="102"/>
    </row>
    <row r="51" spans="1:6" s="9" customFormat="1">
      <c r="A51" s="101"/>
      <c r="B51" s="316" t="s">
        <v>1051</v>
      </c>
      <c r="C51" s="102">
        <f>'Qnty(Hostel)'!E614</f>
        <v>663.44850724645676</v>
      </c>
      <c r="D51" s="100" t="s">
        <v>127</v>
      </c>
      <c r="E51" s="102">
        <f>ANALYSIS!F585</f>
        <v>5484.2</v>
      </c>
      <c r="F51" s="180">
        <f>E51*C51</f>
        <v>3638484.3034410179</v>
      </c>
    </row>
    <row r="52" spans="1:6" s="9" customFormat="1">
      <c r="A52" s="101"/>
      <c r="B52" s="316" t="s">
        <v>1214</v>
      </c>
      <c r="C52" s="102">
        <f>'Qnty(Hostel)'!E625</f>
        <v>364.63518949175995</v>
      </c>
      <c r="D52" s="100" t="s">
        <v>127</v>
      </c>
      <c r="E52" s="102">
        <f>ANALYSIS!F590</f>
        <v>5498.4</v>
      </c>
      <c r="F52" s="180">
        <f>E52*C52</f>
        <v>2004910.1259014928</v>
      </c>
    </row>
    <row r="53" spans="1:6" s="9" customFormat="1">
      <c r="A53" s="101"/>
      <c r="B53" s="316" t="s">
        <v>1250</v>
      </c>
      <c r="C53" s="102">
        <f>'Qnty(Hostel)'!E634</f>
        <v>14.377383900000002</v>
      </c>
      <c r="D53" s="100" t="s">
        <v>127</v>
      </c>
      <c r="E53" s="102">
        <f>ANALYSIS!F595</f>
        <v>5507.4</v>
      </c>
      <c r="F53" s="180">
        <f>E53*C53</f>
        <v>79182.004090860006</v>
      </c>
    </row>
    <row r="54" spans="1:6" s="9" customFormat="1">
      <c r="A54" s="101"/>
      <c r="B54" s="316"/>
      <c r="C54" s="20"/>
      <c r="E54" s="20"/>
      <c r="F54" s="18"/>
    </row>
    <row r="55" spans="1:6" s="9" customFormat="1" ht="153">
      <c r="A55" s="101">
        <v>8</v>
      </c>
      <c r="B55" s="440" t="s">
        <v>1247</v>
      </c>
      <c r="C55" s="171"/>
      <c r="D55" s="100"/>
      <c r="E55" s="100"/>
      <c r="F55" s="180"/>
    </row>
    <row r="56" spans="1:6" s="9" customFormat="1">
      <c r="A56" s="101"/>
      <c r="B56" s="156" t="s">
        <v>1051</v>
      </c>
      <c r="C56" s="102">
        <f>'Qnty(Hostel)'!G696</f>
        <v>498.38703750000013</v>
      </c>
      <c r="D56" s="100" t="s">
        <v>25</v>
      </c>
      <c r="E56" s="102">
        <f>ANALYSIS!F175</f>
        <v>4260.3</v>
      </c>
      <c r="F56" s="180">
        <f>E56*C56</f>
        <v>2123278.2958612507</v>
      </c>
    </row>
    <row r="57" spans="1:6" s="9" customFormat="1">
      <c r="A57" s="101"/>
      <c r="B57" s="316" t="s">
        <v>1214</v>
      </c>
      <c r="C57" s="102">
        <f>'Qnty(Hostel)'!G737</f>
        <v>438.50358750000009</v>
      </c>
      <c r="D57" s="100" t="s">
        <v>25</v>
      </c>
      <c r="E57" s="102">
        <f>ANALYSIS!F182</f>
        <v>4423.2</v>
      </c>
      <c r="F57" s="180">
        <f>E57*C57</f>
        <v>1939589.0682300003</v>
      </c>
    </row>
    <row r="58" spans="1:6" s="9" customFormat="1">
      <c r="A58" s="101"/>
      <c r="B58" s="316" t="s">
        <v>1205</v>
      </c>
      <c r="C58" s="102">
        <f>'Qnty(Hostel)'!G749</f>
        <v>72.338805000000008</v>
      </c>
      <c r="D58" s="100" t="s">
        <v>25</v>
      </c>
      <c r="E58" s="102">
        <f>ANALYSIS!F190</f>
        <v>4610.5</v>
      </c>
      <c r="F58" s="180">
        <f>E58*C58</f>
        <v>333518.06045250001</v>
      </c>
    </row>
    <row r="59" spans="1:6" s="9" customFormat="1">
      <c r="A59" s="101"/>
      <c r="B59" s="316"/>
      <c r="C59" s="102"/>
      <c r="D59" s="100"/>
      <c r="E59" s="102"/>
      <c r="F59" s="180"/>
    </row>
    <row r="60" spans="1:6" s="9" customFormat="1" ht="140.25">
      <c r="A60" s="101">
        <v>9</v>
      </c>
      <c r="B60" s="181" t="s">
        <v>983</v>
      </c>
      <c r="C60" s="102"/>
      <c r="D60" s="100"/>
      <c r="E60" s="102"/>
      <c r="F60" s="317"/>
    </row>
    <row r="61" spans="1:6" s="9" customFormat="1">
      <c r="A61" s="101"/>
      <c r="B61" s="156" t="s">
        <v>1051</v>
      </c>
      <c r="C61" s="102">
        <f>'Qnty(Hostel)'!G914</f>
        <v>2164.8618319679999</v>
      </c>
      <c r="D61" s="100" t="s">
        <v>32</v>
      </c>
      <c r="E61" s="102">
        <f>ANALYSIS!F648</f>
        <v>131.9</v>
      </c>
      <c r="F61" s="317">
        <f>E61*C61</f>
        <v>285545.2756365792</v>
      </c>
    </row>
    <row r="62" spans="1:6" s="9" customFormat="1">
      <c r="A62" s="101"/>
      <c r="B62" s="156" t="s">
        <v>1214</v>
      </c>
      <c r="C62" s="102">
        <f>'Qnty(Hostel)'!G947</f>
        <v>1952.3276259959998</v>
      </c>
      <c r="D62" s="100" t="s">
        <v>32</v>
      </c>
      <c r="E62" s="102">
        <f>ANALYSIS!F654</f>
        <v>134.9</v>
      </c>
      <c r="F62" s="317">
        <f>E62*C62</f>
        <v>263368.99674686039</v>
      </c>
    </row>
    <row r="63" spans="1:6" s="9" customFormat="1">
      <c r="A63" s="101"/>
      <c r="B63" s="156" t="s">
        <v>1250</v>
      </c>
      <c r="C63" s="102">
        <f>'Qnty(Hostel)'!G959</f>
        <v>333.85185662400005</v>
      </c>
      <c r="D63" s="100" t="s">
        <v>32</v>
      </c>
      <c r="E63" s="102">
        <f>ANALYSIS!F659</f>
        <v>138</v>
      </c>
      <c r="F63" s="317">
        <f>E63*C63</f>
        <v>46071.55621411201</v>
      </c>
    </row>
    <row r="64" spans="1:6" s="9" customFormat="1">
      <c r="A64" s="101"/>
      <c r="B64" s="156"/>
      <c r="C64" s="102"/>
      <c r="D64" s="100"/>
      <c r="E64" s="102"/>
      <c r="F64" s="317"/>
    </row>
    <row r="65" spans="1:13" s="9" customFormat="1" ht="140.25">
      <c r="A65" s="101">
        <v>10</v>
      </c>
      <c r="B65" s="156" t="s">
        <v>984</v>
      </c>
      <c r="C65" s="643"/>
      <c r="D65" s="244"/>
      <c r="E65" s="100"/>
      <c r="F65" s="317"/>
    </row>
    <row r="66" spans="1:13" s="9" customFormat="1">
      <c r="A66" s="101"/>
      <c r="B66" s="316" t="s">
        <v>1051</v>
      </c>
      <c r="C66" s="102">
        <f>'Qnty(Hostel)'!G1005</f>
        <v>1985.039795376</v>
      </c>
      <c r="D66" s="100" t="s">
        <v>32</v>
      </c>
      <c r="E66" s="102">
        <f>ANALYSIS!F679</f>
        <v>138.30000000000001</v>
      </c>
      <c r="F66" s="317">
        <f>E66*C66</f>
        <v>274531.00370050082</v>
      </c>
    </row>
    <row r="67" spans="1:13" s="9" customFormat="1">
      <c r="A67" s="101"/>
      <c r="B67" s="316" t="s">
        <v>1214</v>
      </c>
      <c r="C67" s="102">
        <f>'Qnty(Hostel)'!G1042</f>
        <v>1995.1965</v>
      </c>
      <c r="D67" s="100" t="s">
        <v>32</v>
      </c>
      <c r="E67" s="102">
        <f>ANALYSIS!F684</f>
        <v>141.30000000000001</v>
      </c>
      <c r="F67" s="317">
        <f>E67*C67</f>
        <v>281921.26545000001</v>
      </c>
      <c r="J67" s="18"/>
      <c r="M67" s="18"/>
    </row>
    <row r="68" spans="1:13" s="9" customFormat="1">
      <c r="A68" s="101"/>
      <c r="B68" s="316" t="s">
        <v>1205</v>
      </c>
      <c r="C68" s="102">
        <f>'Qnty(Hostel)'!G1054</f>
        <v>413.10577000000006</v>
      </c>
      <c r="D68" s="100" t="s">
        <v>32</v>
      </c>
      <c r="E68" s="102">
        <f>ANALYSIS!F689</f>
        <v>144.30000000000001</v>
      </c>
      <c r="F68" s="317">
        <f>E68*C68</f>
        <v>59611.162611000014</v>
      </c>
    </row>
    <row r="69" spans="1:13" s="9" customFormat="1">
      <c r="A69" s="101"/>
      <c r="B69" s="316"/>
      <c r="C69" s="102"/>
      <c r="D69" s="100"/>
      <c r="E69" s="100"/>
      <c r="F69" s="317"/>
    </row>
    <row r="70" spans="1:13" s="9" customFormat="1" ht="165.75">
      <c r="A70" s="101">
        <v>11</v>
      </c>
      <c r="B70" s="156" t="s">
        <v>985</v>
      </c>
      <c r="C70" s="102"/>
      <c r="D70" s="100"/>
      <c r="E70" s="100"/>
      <c r="F70" s="317"/>
    </row>
    <row r="71" spans="1:13" s="9" customFormat="1">
      <c r="A71" s="101"/>
      <c r="B71" s="316" t="s">
        <v>1051</v>
      </c>
      <c r="C71" s="102">
        <f>'Qnty(Hostel)'!G1097</f>
        <v>1195.5829060269593</v>
      </c>
      <c r="D71" s="100" t="s">
        <v>32</v>
      </c>
      <c r="E71" s="102">
        <f>ANALYSIS!F618</f>
        <v>109.2</v>
      </c>
      <c r="F71" s="317">
        <f>E71*C71</f>
        <v>130557.65333814397</v>
      </c>
    </row>
    <row r="72" spans="1:13" s="9" customFormat="1">
      <c r="A72" s="101"/>
      <c r="B72" s="316" t="s">
        <v>1214</v>
      </c>
      <c r="C72" s="102">
        <f>'Qnty(Hostel)'!G1125</f>
        <v>1064.4882819269596</v>
      </c>
      <c r="D72" s="100" t="s">
        <v>32</v>
      </c>
      <c r="E72" s="102">
        <f>ANALYSIS!F623</f>
        <v>111.5</v>
      </c>
      <c r="F72" s="317">
        <f>E72*C72</f>
        <v>118690.443434856</v>
      </c>
    </row>
    <row r="73" spans="1:13" s="9" customFormat="1">
      <c r="A73" s="101"/>
      <c r="B73" s="316" t="s">
        <v>1250</v>
      </c>
      <c r="C73" s="102">
        <f>'Qnty(Hostel)'!G1131</f>
        <v>39.209940000000003</v>
      </c>
      <c r="D73" s="100" t="s">
        <v>32</v>
      </c>
      <c r="E73" s="102">
        <f>ANALYSIS!F628</f>
        <v>113.9</v>
      </c>
      <c r="F73" s="317">
        <f>E73*C73</f>
        <v>4466.0121660000004</v>
      </c>
    </row>
    <row r="74" spans="1:13" s="9" customFormat="1">
      <c r="A74" s="101"/>
      <c r="B74" s="316"/>
      <c r="C74" s="102"/>
      <c r="D74" s="100"/>
      <c r="E74" s="102"/>
      <c r="F74" s="317"/>
    </row>
    <row r="75" spans="1:13" s="9" customFormat="1" ht="51">
      <c r="A75" s="101">
        <v>12</v>
      </c>
      <c r="B75" s="156" t="s">
        <v>1045</v>
      </c>
      <c r="C75" s="102">
        <f>'Qnty(Hostel)'!G1141</f>
        <v>1251.9989256112799</v>
      </c>
      <c r="D75" s="100" t="s">
        <v>32</v>
      </c>
      <c r="E75" s="102">
        <f>ANALYSIS!F854</f>
        <v>240.83788854999997</v>
      </c>
      <c r="F75" s="317">
        <f>E75*C75</f>
        <v>301528.77771108912</v>
      </c>
    </row>
    <row r="76" spans="1:13" s="9" customFormat="1">
      <c r="A76" s="101"/>
      <c r="B76" s="431"/>
      <c r="C76" s="102"/>
      <c r="D76" s="100"/>
      <c r="E76" s="102"/>
      <c r="F76" s="317"/>
    </row>
    <row r="77" spans="1:13" s="9" customFormat="1" ht="63.75">
      <c r="A77" s="101">
        <v>13</v>
      </c>
      <c r="B77" s="156" t="s">
        <v>1469</v>
      </c>
      <c r="C77" s="102">
        <f>'Qnty(Hostel)'!G1187</f>
        <v>8002.8942970877106</v>
      </c>
      <c r="D77" s="100" t="s">
        <v>32</v>
      </c>
      <c r="E77" s="102">
        <f>('ANALYSIS (2)'!F758+'ANALYSIS (2)'!F758)/2</f>
        <v>129.80000000000001</v>
      </c>
      <c r="F77" s="317">
        <f>E77*C77</f>
        <v>1038775.679761985</v>
      </c>
    </row>
    <row r="78" spans="1:13" s="9" customFormat="1">
      <c r="A78" s="101"/>
      <c r="B78" s="316"/>
      <c r="C78" s="20"/>
      <c r="E78" s="20"/>
    </row>
    <row r="79" spans="1:13" s="9" customFormat="1" ht="123.75">
      <c r="A79" s="101">
        <v>14</v>
      </c>
      <c r="B79" s="316" t="s">
        <v>1248</v>
      </c>
      <c r="C79" s="102"/>
      <c r="D79" s="100"/>
      <c r="E79" s="100"/>
      <c r="F79" s="317"/>
    </row>
    <row r="80" spans="1:13" s="9" customFormat="1">
      <c r="A80" s="101"/>
      <c r="B80" s="316" t="s">
        <v>1051</v>
      </c>
      <c r="C80" s="102">
        <f>'Qnty(Hostel)'!G777</f>
        <v>523.98060000000009</v>
      </c>
      <c r="D80" s="100" t="s">
        <v>32</v>
      </c>
      <c r="E80" s="102">
        <f>ANALYSIS!F909</f>
        <v>680.3</v>
      </c>
      <c r="F80" s="317">
        <f>E80*C80</f>
        <v>356464.00218000007</v>
      </c>
    </row>
    <row r="81" spans="1:6" s="9" customFormat="1">
      <c r="A81" s="101"/>
      <c r="B81" s="316" t="s">
        <v>1214</v>
      </c>
      <c r="C81" s="102">
        <f>'Qnty(Hostel)'!G797</f>
        <v>582.75855000000013</v>
      </c>
      <c r="D81" s="100" t="s">
        <v>32</v>
      </c>
      <c r="E81" s="102">
        <f>ANALYSIS!F915</f>
        <v>688.9</v>
      </c>
      <c r="F81" s="317">
        <f>E81*C81</f>
        <v>401462.36509500007</v>
      </c>
    </row>
    <row r="82" spans="1:6" s="9" customFormat="1">
      <c r="A82" s="101"/>
      <c r="B82" s="316"/>
      <c r="C82" s="102"/>
      <c r="D82" s="100"/>
      <c r="E82" s="102"/>
      <c r="F82" s="317"/>
    </row>
    <row r="83" spans="1:6" s="9" customFormat="1" ht="63.75">
      <c r="A83" s="101">
        <v>15</v>
      </c>
      <c r="B83" s="316" t="s">
        <v>160</v>
      </c>
      <c r="C83" s="102"/>
      <c r="D83" s="100"/>
      <c r="E83" s="102"/>
      <c r="F83" s="317"/>
    </row>
    <row r="84" spans="1:6" s="9" customFormat="1">
      <c r="A84" s="101"/>
      <c r="B84" s="316" t="s">
        <v>1051</v>
      </c>
      <c r="C84" s="102">
        <f>'Qnty(Hostel)'!G811</f>
        <v>156.22505352696001</v>
      </c>
      <c r="D84" s="100" t="s">
        <v>32</v>
      </c>
      <c r="E84" s="102">
        <f>ANALYSIS!F877</f>
        <v>763.4</v>
      </c>
      <c r="F84" s="317">
        <f>E84*C84</f>
        <v>119262.20586248126</v>
      </c>
    </row>
    <row r="85" spans="1:6" s="9" customFormat="1">
      <c r="A85" s="101"/>
      <c r="B85" s="316" t="s">
        <v>1214</v>
      </c>
      <c r="C85" s="102">
        <f>'Qnty(Hostel)'!G823</f>
        <v>144.59497352695999</v>
      </c>
      <c r="D85" s="100" t="s">
        <v>32</v>
      </c>
      <c r="E85" s="102">
        <f>ANALYSIS!F882</f>
        <v>769.2</v>
      </c>
      <c r="F85" s="317">
        <f>E85*C85</f>
        <v>111222.45363693763</v>
      </c>
    </row>
    <row r="86" spans="1:6" s="9" customFormat="1">
      <c r="A86" s="101"/>
      <c r="B86" s="316"/>
      <c r="C86" s="102"/>
      <c r="D86" s="100"/>
      <c r="E86" s="102"/>
      <c r="F86" s="317"/>
    </row>
    <row r="87" spans="1:6" s="20" customFormat="1" ht="25.5">
      <c r="A87" s="101">
        <v>16</v>
      </c>
      <c r="B87" s="156" t="s">
        <v>435</v>
      </c>
      <c r="C87" s="156"/>
      <c r="D87" s="156"/>
      <c r="E87" s="156"/>
      <c r="F87" s="156"/>
    </row>
    <row r="88" spans="1:6" s="20" customFormat="1">
      <c r="A88" s="101"/>
      <c r="B88" s="156" t="s">
        <v>1051</v>
      </c>
      <c r="C88" s="102">
        <f>'Qnty(Hostel)'!G870</f>
        <v>30.130320000000001</v>
      </c>
      <c r="D88" s="100" t="s">
        <v>32</v>
      </c>
      <c r="E88" s="102">
        <f>ANALYSIS!F1465</f>
        <v>990.1</v>
      </c>
      <c r="F88" s="180">
        <f>E88*C88</f>
        <v>29832.029832</v>
      </c>
    </row>
    <row r="89" spans="1:6" s="20" customFormat="1">
      <c r="A89" s="101"/>
      <c r="B89" s="156"/>
      <c r="C89" s="102"/>
      <c r="D89" s="100"/>
      <c r="E89" s="102"/>
      <c r="F89" s="180"/>
    </row>
    <row r="90" spans="1:6" s="9" customFormat="1" ht="78" customHeight="1">
      <c r="A90" s="101">
        <v>17</v>
      </c>
      <c r="B90" s="316" t="s">
        <v>1312</v>
      </c>
      <c r="C90" s="156"/>
      <c r="E90" s="102"/>
      <c r="F90" s="317"/>
    </row>
    <row r="91" spans="1:6" s="9" customFormat="1">
      <c r="A91" s="101"/>
      <c r="B91" s="316" t="s">
        <v>1051</v>
      </c>
      <c r="C91" s="484">
        <f>'Qnty(Hostel)'!G850</f>
        <v>962.10897749999981</v>
      </c>
      <c r="D91" s="100" t="s">
        <v>32</v>
      </c>
      <c r="E91" s="102">
        <f>ANALYSIS!G1486</f>
        <v>365.4</v>
      </c>
      <c r="F91" s="317">
        <f>E91*C91</f>
        <v>351554.62037849991</v>
      </c>
    </row>
    <row r="92" spans="1:6" s="9" customFormat="1">
      <c r="A92" s="101"/>
      <c r="B92" s="316" t="s">
        <v>1214</v>
      </c>
      <c r="C92" s="484">
        <f>'Qnty(Hostel)'!G865</f>
        <v>858.02369399999998</v>
      </c>
      <c r="D92" s="100" t="s">
        <v>32</v>
      </c>
      <c r="E92" s="102">
        <f>ANALYSIS!G1491</f>
        <v>373.6</v>
      </c>
      <c r="F92" s="317">
        <f>E92*C92</f>
        <v>320557.65207840002</v>
      </c>
    </row>
    <row r="93" spans="1:6" s="9" customFormat="1">
      <c r="A93" s="101"/>
      <c r="B93" s="316"/>
      <c r="C93" s="102"/>
      <c r="D93" s="100"/>
      <c r="E93" s="102"/>
      <c r="F93" s="317"/>
    </row>
    <row r="94" spans="1:6" s="9" customFormat="1" ht="114.75">
      <c r="A94" s="101">
        <v>18</v>
      </c>
      <c r="B94" s="156" t="s">
        <v>1055</v>
      </c>
      <c r="C94" s="102">
        <f>'Qnty(Hostel)'!G1172</f>
        <v>4529.9331000000002</v>
      </c>
      <c r="D94" s="100" t="s">
        <v>447</v>
      </c>
      <c r="E94" s="102">
        <f>ANALYSIS!F777</f>
        <v>71.099999999999994</v>
      </c>
      <c r="F94" s="317">
        <f>E94*C94</f>
        <v>322078.24341</v>
      </c>
    </row>
    <row r="95" spans="1:6" s="445" customFormat="1">
      <c r="A95" s="101"/>
      <c r="B95" s="316"/>
      <c r="C95" s="370"/>
      <c r="D95" s="100"/>
      <c r="E95" s="102"/>
      <c r="F95" s="317"/>
    </row>
    <row r="96" spans="1:6" s="445" customFormat="1" ht="89.25">
      <c r="A96" s="101">
        <v>19</v>
      </c>
      <c r="B96" s="335" t="s">
        <v>981</v>
      </c>
      <c r="C96" s="102">
        <f>'Qnty(Hostel)'!G1249</f>
        <v>133.2936</v>
      </c>
      <c r="D96" s="100" t="s">
        <v>447</v>
      </c>
      <c r="E96" s="102">
        <f>ANALYSIS!F1191</f>
        <v>437</v>
      </c>
      <c r="F96" s="317">
        <f>E96*C96</f>
        <v>58249.303200000002</v>
      </c>
    </row>
    <row r="97" spans="1:9" s="445" customFormat="1">
      <c r="A97" s="101"/>
      <c r="B97" s="335"/>
      <c r="C97" s="102"/>
      <c r="D97" s="100"/>
      <c r="E97" s="102"/>
      <c r="F97" s="317"/>
    </row>
    <row r="98" spans="1:9" s="445" customFormat="1" ht="102">
      <c r="A98" s="101">
        <v>20</v>
      </c>
      <c r="B98" s="156" t="s">
        <v>462</v>
      </c>
      <c r="C98" s="102"/>
      <c r="D98" s="100"/>
      <c r="E98" s="102"/>
      <c r="F98" s="317"/>
    </row>
    <row r="99" spans="1:9" s="445" customFormat="1">
      <c r="A99" s="101"/>
      <c r="B99" s="156" t="s">
        <v>1051</v>
      </c>
      <c r="C99" s="102">
        <f>'Qnty(Hostel)'!G1149</f>
        <v>14.625599999999999</v>
      </c>
      <c r="D99" s="100" t="s">
        <v>434</v>
      </c>
      <c r="E99" s="102">
        <f>ANALYSIS!F800</f>
        <v>3358</v>
      </c>
      <c r="F99" s="317">
        <f>E99*C99</f>
        <v>49112.764799999997</v>
      </c>
    </row>
    <row r="100" spans="1:9" s="445" customFormat="1">
      <c r="A100" s="101"/>
      <c r="B100" s="156" t="s">
        <v>1214</v>
      </c>
      <c r="C100" s="102">
        <f>'Qnty(Hostel)'!G1153</f>
        <v>14.625599999999999</v>
      </c>
      <c r="D100" s="100" t="s">
        <v>434</v>
      </c>
      <c r="E100" s="102">
        <f>ANALYSIS!F806</f>
        <v>3360.9</v>
      </c>
      <c r="F100" s="317">
        <f>E100*C100</f>
        <v>49155.179039999995</v>
      </c>
    </row>
    <row r="101" spans="1:9" s="9" customFormat="1">
      <c r="A101" s="101"/>
      <c r="C101" s="20"/>
    </row>
    <row r="102" spans="1:9" s="9" customFormat="1" ht="120" customHeight="1">
      <c r="A102" s="101">
        <v>21</v>
      </c>
      <c r="B102" s="156" t="s">
        <v>1056</v>
      </c>
      <c r="C102" s="102">
        <f>'Qnty(Hostel)'!G1232+'Qnty(Hostel)'!G1238</f>
        <v>168.399</v>
      </c>
      <c r="D102" s="100" t="s">
        <v>32</v>
      </c>
      <c r="E102" s="102">
        <f>(ANALYSIS!F1215+ANALYSIS!F1220)/2</f>
        <v>127.8</v>
      </c>
      <c r="F102" s="317">
        <f>E102*C102</f>
        <v>21521.392199999998</v>
      </c>
    </row>
    <row r="103" spans="1:9" s="9" customFormat="1">
      <c r="A103" s="101"/>
      <c r="B103" s="156"/>
      <c r="C103" s="102"/>
      <c r="D103" s="100"/>
      <c r="E103" s="102"/>
      <c r="F103" s="317"/>
    </row>
    <row r="104" spans="1:9" s="9" customFormat="1" ht="51">
      <c r="A104" s="101">
        <v>22</v>
      </c>
      <c r="B104" s="156" t="s">
        <v>1253</v>
      </c>
      <c r="C104" s="102">
        <f>'Qnty(Hostel)'!G1274</f>
        <v>2.0332124999999999</v>
      </c>
      <c r="D104" s="100" t="s">
        <v>25</v>
      </c>
      <c r="E104" s="54">
        <v>68202.92</v>
      </c>
      <c r="F104" s="317">
        <f>E104*C104</f>
        <v>138671.0294805</v>
      </c>
    </row>
    <row r="105" spans="1:9" s="9" customFormat="1">
      <c r="A105" s="101"/>
      <c r="B105" s="316"/>
      <c r="C105" s="20"/>
      <c r="I105" s="18"/>
    </row>
    <row r="106" spans="1:9" s="9" customFormat="1" ht="127.5">
      <c r="A106" s="101">
        <v>23</v>
      </c>
      <c r="B106" s="3" t="s">
        <v>1484</v>
      </c>
      <c r="C106" s="102">
        <f>'Qnty(Hostel)'!G1266</f>
        <v>113.30550000000001</v>
      </c>
      <c r="D106" s="100" t="s">
        <v>836</v>
      </c>
      <c r="E106" s="102">
        <f>ANALYSIS!F1383</f>
        <v>5509</v>
      </c>
      <c r="F106" s="317">
        <f>E106*C106</f>
        <v>624199.99950000003</v>
      </c>
    </row>
    <row r="107" spans="1:9" s="9" customFormat="1">
      <c r="A107" s="101"/>
      <c r="B107" s="333"/>
      <c r="C107" s="102"/>
      <c r="D107" s="54"/>
      <c r="E107" s="444"/>
      <c r="F107" s="317"/>
    </row>
    <row r="108" spans="1:9" ht="306">
      <c r="A108" s="133">
        <v>24</v>
      </c>
      <c r="B108" s="156" t="s">
        <v>650</v>
      </c>
      <c r="C108" s="180">
        <f>'Qnty(Hostel)'!G1285</f>
        <v>114.34500000000003</v>
      </c>
      <c r="D108" s="180" t="s">
        <v>350</v>
      </c>
      <c r="E108" s="180">
        <v>2503</v>
      </c>
      <c r="F108" s="317">
        <f>E108*C108</f>
        <v>286205.53500000009</v>
      </c>
    </row>
    <row r="109" spans="1:9">
      <c r="A109" s="101"/>
      <c r="B109" s="156"/>
      <c r="C109" s="102"/>
      <c r="D109" s="100"/>
      <c r="E109" s="444"/>
      <c r="F109" s="317"/>
    </row>
    <row r="110" spans="1:9" ht="165.75">
      <c r="A110" s="133">
        <v>25</v>
      </c>
      <c r="B110" s="181" t="s">
        <v>649</v>
      </c>
      <c r="C110" s="102">
        <f>'Qnty(Hostel)'!G1290</f>
        <v>359.37</v>
      </c>
      <c r="D110" s="100" t="s">
        <v>434</v>
      </c>
      <c r="E110" s="16">
        <v>339.5</v>
      </c>
      <c r="F110" s="317">
        <f>E110*C110</f>
        <v>122006.11500000001</v>
      </c>
    </row>
    <row r="111" spans="1:9">
      <c r="A111" s="101"/>
      <c r="B111" s="156"/>
      <c r="C111" s="102"/>
      <c r="D111" s="54"/>
      <c r="E111" s="305"/>
      <c r="F111" s="317"/>
    </row>
    <row r="112" spans="1:9" ht="193.5">
      <c r="A112" s="101">
        <v>26</v>
      </c>
      <c r="B112" s="1047" t="s">
        <v>1483</v>
      </c>
      <c r="C112" s="102">
        <f>'Qnty(Hostel)'!G1306</f>
        <v>4529.9331000000002</v>
      </c>
      <c r="D112" s="100" t="s">
        <v>447</v>
      </c>
      <c r="E112" s="180">
        <f>'ANALYSIS (2)'!F1525</f>
        <v>114.1</v>
      </c>
      <c r="F112" s="317">
        <f>E112*C112</f>
        <v>516865.36670999997</v>
      </c>
    </row>
    <row r="113" spans="1:6">
      <c r="A113" s="17"/>
      <c r="B113" s="9"/>
      <c r="C113" s="50"/>
      <c r="D113" s="9"/>
      <c r="E113" s="135" t="s">
        <v>117</v>
      </c>
      <c r="F113" s="51">
        <f>SUM(F2:F112)</f>
        <v>24368367.591818795</v>
      </c>
    </row>
    <row r="114" spans="1:6">
      <c r="A114" s="17"/>
      <c r="B114" s="9"/>
      <c r="C114" s="20"/>
      <c r="D114" s="9"/>
      <c r="E114" s="53" t="s">
        <v>120</v>
      </c>
      <c r="F114" s="479">
        <f>ROUND(F113,0)</f>
        <v>24368368</v>
      </c>
    </row>
    <row r="115" spans="1:6">
      <c r="A115" s="17"/>
      <c r="B115" s="758" t="s">
        <v>1422</v>
      </c>
      <c r="C115" s="20"/>
      <c r="D115" s="9"/>
      <c r="E115" s="53"/>
      <c r="F115" s="479">
        <f>F114*2</f>
        <v>48736736</v>
      </c>
    </row>
    <row r="116" spans="1:6" s="481" customFormat="1">
      <c r="A116" s="480"/>
      <c r="C116" s="149"/>
      <c r="E116" s="480"/>
      <c r="F116" s="482"/>
    </row>
  </sheetData>
  <mergeCells count="1">
    <mergeCell ref="A1:F1"/>
  </mergeCells>
  <printOptions horizontalCentered="1" gridLines="1"/>
  <pageMargins left="0.427165354" right="0.427165354" top="1.177165354" bottom="0.927165354" header="0.31496062992126" footer="0.31496062992126"/>
  <pageSetup paperSize="9" orientation="portrait" r:id="rId1"/>
  <headerFooter>
    <oddHeader>&amp;C&amp;"Arial,Bold"&amp;12PROJECT:-&amp;"Arial,Regular"
PROPOSED CONSTRUCTION OF EMRS (Ekalavya Model Residential School)
 AT BIKRAMPUR, DIST:-RAYAGADA, ODISHA.</oddHeader>
    <oddFooter>&amp;L&amp;"Arial,Bold"&amp;11HSCL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6"/>
  <sheetViews>
    <sheetView view="pageBreakPreview" zoomScaleSheetLayoutView="100" workbookViewId="0">
      <selection activeCell="G1306" sqref="G1306"/>
    </sheetView>
  </sheetViews>
  <sheetFormatPr defaultRowHeight="12.75"/>
  <cols>
    <col min="1" max="1" width="6.7109375" style="488" customWidth="1"/>
    <col min="2" max="2" width="30.42578125" style="485" customWidth="1"/>
    <col min="3" max="3" width="10" style="485" customWidth="1"/>
    <col min="4" max="4" width="11.5703125" style="485" bestFit="1" customWidth="1"/>
    <col min="5" max="5" width="10.5703125" style="489" bestFit="1" customWidth="1"/>
    <col min="6" max="6" width="9.42578125" style="485" bestFit="1" customWidth="1"/>
    <col min="7" max="7" width="10.42578125" style="490" bestFit="1" customWidth="1"/>
    <col min="8" max="8" width="5.7109375" style="491" bestFit="1" customWidth="1"/>
    <col min="9" max="9" width="9.140625" style="486" customWidth="1"/>
    <col min="10" max="10" width="14.85546875" style="486" customWidth="1"/>
    <col min="11" max="11" width="9.5703125" style="487" bestFit="1" customWidth="1"/>
    <col min="12" max="13" width="9.140625" style="487" customWidth="1"/>
    <col min="14" max="18" width="9.140625" style="486" customWidth="1"/>
    <col min="19" max="16384" width="9.140625" style="485"/>
  </cols>
  <sheetData>
    <row r="1" spans="1:18" ht="51" customHeight="1">
      <c r="A1" s="1273" t="s">
        <v>1427</v>
      </c>
      <c r="B1" s="1273"/>
      <c r="C1" s="1273"/>
      <c r="D1" s="1273"/>
      <c r="E1" s="1273"/>
      <c r="F1" s="1273"/>
      <c r="G1" s="1273"/>
      <c r="H1" s="1273"/>
      <c r="K1" s="510"/>
      <c r="L1" s="510"/>
      <c r="M1" s="510"/>
    </row>
    <row r="2" spans="1:18" s="149" customFormat="1" ht="19.5" customHeight="1">
      <c r="A2" s="1274" t="s">
        <v>1217</v>
      </c>
      <c r="B2" s="1274"/>
      <c r="C2" s="1274"/>
      <c r="D2" s="1274"/>
      <c r="E2" s="1274"/>
      <c r="F2" s="1274"/>
      <c r="G2" s="1274"/>
      <c r="H2" s="1274"/>
      <c r="I2" s="164"/>
      <c r="J2" s="164"/>
      <c r="K2" s="165"/>
      <c r="L2" s="165"/>
      <c r="M2" s="165"/>
      <c r="N2" s="164"/>
      <c r="O2" s="164"/>
      <c r="P2" s="164"/>
      <c r="Q2" s="164"/>
      <c r="R2" s="164"/>
    </row>
    <row r="3" spans="1:18" s="149" customFormat="1" ht="12.75" customHeight="1">
      <c r="A3" s="560"/>
      <c r="B3" s="560"/>
      <c r="C3" s="560"/>
      <c r="D3" s="560"/>
      <c r="E3" s="560"/>
      <c r="F3" s="560"/>
      <c r="G3" s="560"/>
      <c r="H3" s="560"/>
      <c r="I3" s="164"/>
      <c r="J3" s="164"/>
      <c r="K3" s="165"/>
      <c r="L3" s="165"/>
      <c r="M3" s="165"/>
      <c r="N3" s="164"/>
      <c r="O3" s="164"/>
      <c r="P3" s="164"/>
      <c r="Q3" s="164"/>
      <c r="R3" s="164"/>
    </row>
    <row r="4" spans="1:18" s="149" customFormat="1">
      <c r="A4" s="561" t="s">
        <v>172</v>
      </c>
      <c r="B4" s="561" t="s">
        <v>1157</v>
      </c>
      <c r="C4" s="561" t="s">
        <v>62</v>
      </c>
      <c r="D4" s="561" t="s">
        <v>1218</v>
      </c>
      <c r="E4" s="561" t="s">
        <v>38</v>
      </c>
      <c r="F4" s="561" t="s">
        <v>570</v>
      </c>
      <c r="G4" s="562" t="s">
        <v>1158</v>
      </c>
      <c r="H4" s="563" t="s">
        <v>21</v>
      </c>
      <c r="I4" s="164"/>
      <c r="J4" s="164"/>
      <c r="K4" s="165"/>
      <c r="L4" s="165"/>
      <c r="M4" s="165"/>
      <c r="N4" s="164"/>
      <c r="O4" s="164"/>
      <c r="P4" s="164"/>
      <c r="Q4" s="164"/>
      <c r="R4" s="164"/>
    </row>
    <row r="5" spans="1:18" s="149" customFormat="1">
      <c r="A5" s="580"/>
      <c r="B5" s="580"/>
      <c r="C5" s="580"/>
      <c r="D5" s="580"/>
      <c r="E5" s="580"/>
      <c r="F5" s="580"/>
      <c r="G5" s="581"/>
      <c r="H5" s="582"/>
      <c r="I5" s="164"/>
      <c r="J5" s="164"/>
      <c r="K5" s="165"/>
      <c r="L5" s="165"/>
      <c r="M5" s="165"/>
      <c r="N5" s="164"/>
      <c r="O5" s="164"/>
      <c r="P5" s="164"/>
      <c r="Q5" s="164"/>
      <c r="R5" s="164"/>
    </row>
    <row r="6" spans="1:18" s="149" customFormat="1">
      <c r="A6" s="135">
        <v>1</v>
      </c>
      <c r="B6" s="514" t="s">
        <v>1219</v>
      </c>
      <c r="C6" s="4"/>
      <c r="D6" s="4"/>
      <c r="E6" s="4"/>
      <c r="F6" s="4"/>
      <c r="G6" s="583"/>
      <c r="I6" s="164"/>
      <c r="J6" s="164"/>
      <c r="K6" s="165"/>
      <c r="L6" s="165"/>
      <c r="M6" s="165"/>
      <c r="N6" s="164"/>
      <c r="O6" s="164"/>
      <c r="P6" s="164"/>
      <c r="Q6" s="164"/>
      <c r="R6" s="164"/>
    </row>
    <row r="7" spans="1:18" s="149" customFormat="1" ht="15">
      <c r="A7" s="135"/>
      <c r="B7" s="568" t="s">
        <v>1299</v>
      </c>
      <c r="C7" s="569">
        <v>41</v>
      </c>
      <c r="D7" s="57">
        <v>2.4500000000000002</v>
      </c>
      <c r="E7" s="57">
        <v>2.4500000000000002</v>
      </c>
      <c r="F7" s="57">
        <f t="shared" ref="F7:F12" si="0">5*0.3</f>
        <v>1.5</v>
      </c>
      <c r="G7" s="49">
        <f>F7*E7*D7*C7</f>
        <v>369.15375000000006</v>
      </c>
      <c r="I7" s="164"/>
      <c r="J7" s="164"/>
      <c r="K7" s="165"/>
      <c r="L7" s="165"/>
      <c r="M7" s="165"/>
      <c r="N7" s="164"/>
      <c r="O7" s="164"/>
      <c r="P7" s="164"/>
      <c r="Q7" s="164"/>
      <c r="R7" s="164"/>
    </row>
    <row r="8" spans="1:18" s="149" customFormat="1" ht="15">
      <c r="A8" s="135"/>
      <c r="B8" s="568" t="s">
        <v>1300</v>
      </c>
      <c r="C8" s="569">
        <v>37</v>
      </c>
      <c r="D8" s="57">
        <v>2.6</v>
      </c>
      <c r="E8" s="57">
        <v>2.6</v>
      </c>
      <c r="F8" s="57">
        <f t="shared" si="0"/>
        <v>1.5</v>
      </c>
      <c r="G8" s="49">
        <f>F8*E8*D8*C8</f>
        <v>375.18</v>
      </c>
      <c r="I8" s="164"/>
      <c r="J8" s="121"/>
      <c r="K8" s="121"/>
      <c r="L8" s="121"/>
      <c r="M8" s="165"/>
      <c r="N8" s="164"/>
      <c r="O8" s="164"/>
      <c r="P8" s="164"/>
      <c r="Q8" s="164"/>
      <c r="R8" s="164"/>
    </row>
    <row r="9" spans="1:18" s="149" customFormat="1" ht="15">
      <c r="A9" s="135"/>
      <c r="B9" s="568" t="s">
        <v>1301</v>
      </c>
      <c r="C9" s="569">
        <v>7</v>
      </c>
      <c r="D9" s="57">
        <v>2.15</v>
      </c>
      <c r="E9" s="57">
        <v>2.15</v>
      </c>
      <c r="F9" s="57">
        <f t="shared" si="0"/>
        <v>1.5</v>
      </c>
      <c r="G9" s="49">
        <f>F9*E9*D9*C9</f>
        <v>48.536249999999995</v>
      </c>
      <c r="H9" s="570"/>
      <c r="I9" s="164"/>
      <c r="J9" s="121"/>
      <c r="K9" s="121"/>
      <c r="L9" s="121"/>
      <c r="M9" s="165"/>
      <c r="N9" s="164"/>
      <c r="O9" s="164"/>
      <c r="P9" s="164"/>
      <c r="Q9" s="164"/>
      <c r="R9" s="164"/>
    </row>
    <row r="10" spans="1:18" s="149" customFormat="1" ht="15">
      <c r="A10" s="135"/>
      <c r="B10" s="568" t="s">
        <v>1378</v>
      </c>
      <c r="C10" s="569">
        <v>4</v>
      </c>
      <c r="D10" s="57">
        <v>3.9249999999999998</v>
      </c>
      <c r="E10" s="57">
        <v>2.7749999999999999</v>
      </c>
      <c r="F10" s="57">
        <f t="shared" si="0"/>
        <v>1.5</v>
      </c>
      <c r="G10" s="49">
        <f>F10*E10*D10*C10</f>
        <v>65.351249999999993</v>
      </c>
      <c r="H10" s="570"/>
      <c r="I10" s="164"/>
      <c r="J10" s="121"/>
      <c r="K10" s="121"/>
      <c r="L10" s="121"/>
      <c r="M10" s="165"/>
      <c r="N10" s="164"/>
      <c r="O10" s="164"/>
      <c r="P10" s="164"/>
      <c r="Q10" s="164"/>
      <c r="R10" s="164"/>
    </row>
    <row r="11" spans="1:18" s="149" customFormat="1" ht="15">
      <c r="A11" s="135"/>
      <c r="B11" s="568" t="s">
        <v>1379</v>
      </c>
      <c r="C11" s="569">
        <v>4</v>
      </c>
      <c r="D11" s="1277">
        <f>10865533.3312/1000000</f>
        <v>10.8655333312</v>
      </c>
      <c r="E11" s="1277"/>
      <c r="F11" s="57">
        <f t="shared" si="0"/>
        <v>1.5</v>
      </c>
      <c r="G11" s="49">
        <f>F11*D11*C11</f>
        <v>65.193199987200003</v>
      </c>
      <c r="H11" s="570"/>
      <c r="I11" s="164"/>
      <c r="J11" s="121"/>
      <c r="K11" s="121"/>
      <c r="L11" s="121"/>
      <c r="M11" s="165"/>
      <c r="N11" s="164"/>
      <c r="O11" s="164"/>
      <c r="P11" s="164"/>
      <c r="Q11" s="164"/>
      <c r="R11" s="164"/>
    </row>
    <row r="12" spans="1:18" s="149" customFormat="1" ht="15">
      <c r="A12" s="135"/>
      <c r="B12" s="568" t="s">
        <v>1380</v>
      </c>
      <c r="C12" s="569">
        <v>4</v>
      </c>
      <c r="D12" s="57">
        <v>2.85</v>
      </c>
      <c r="E12" s="57">
        <v>4.0999999999999996</v>
      </c>
      <c r="F12" s="57">
        <f t="shared" si="0"/>
        <v>1.5</v>
      </c>
      <c r="G12" s="49">
        <f>F12*E12*D12*C12</f>
        <v>70.11</v>
      </c>
      <c r="H12" s="570"/>
      <c r="I12" s="164"/>
      <c r="J12" s="121"/>
      <c r="K12" s="121"/>
      <c r="L12" s="121"/>
      <c r="M12" s="165"/>
      <c r="N12" s="164"/>
      <c r="O12" s="164"/>
      <c r="P12" s="164"/>
      <c r="Q12" s="164"/>
      <c r="R12" s="164"/>
    </row>
    <row r="13" spans="1:18" s="164" customFormat="1" ht="15">
      <c r="A13" s="249"/>
      <c r="B13" s="573" t="s">
        <v>1241</v>
      </c>
      <c r="C13" s="53">
        <v>12</v>
      </c>
      <c r="D13" s="184">
        <v>4.38</v>
      </c>
      <c r="E13" s="56">
        <v>0.7</v>
      </c>
      <c r="F13" s="56">
        <v>0.75</v>
      </c>
      <c r="G13" s="585">
        <f t="shared" ref="G13:G43" si="1">F13*E13*D13*C13</f>
        <v>27.593999999999994</v>
      </c>
      <c r="H13" s="588"/>
      <c r="J13" s="165">
        <f>D13*C13</f>
        <v>52.56</v>
      </c>
      <c r="K13" s="165"/>
      <c r="L13" s="165"/>
      <c r="M13" s="165"/>
    </row>
    <row r="14" spans="1:18" s="164" customFormat="1" ht="15">
      <c r="A14" s="249"/>
      <c r="B14" s="574"/>
      <c r="C14" s="53">
        <v>12</v>
      </c>
      <c r="D14" s="184">
        <v>3.49</v>
      </c>
      <c r="E14" s="56">
        <v>0.7</v>
      </c>
      <c r="F14" s="56">
        <v>0.75</v>
      </c>
      <c r="G14" s="585">
        <f t="shared" si="1"/>
        <v>21.986999999999995</v>
      </c>
      <c r="H14" s="588"/>
      <c r="J14" s="165">
        <f t="shared" ref="J14:J43" si="2">D14*C14</f>
        <v>41.88</v>
      </c>
      <c r="K14" s="165"/>
      <c r="L14" s="165"/>
      <c r="M14" s="165"/>
    </row>
    <row r="15" spans="1:18" s="164" customFormat="1" ht="15">
      <c r="A15" s="249"/>
      <c r="B15" s="574"/>
      <c r="C15" s="53">
        <v>4</v>
      </c>
      <c r="D15" s="184">
        <v>1.0900000000000001</v>
      </c>
      <c r="E15" s="56">
        <v>0.7</v>
      </c>
      <c r="F15" s="56">
        <v>0.75</v>
      </c>
      <c r="G15" s="585">
        <f t="shared" si="1"/>
        <v>2.2889999999999997</v>
      </c>
      <c r="H15" s="588"/>
      <c r="J15" s="165">
        <f t="shared" si="2"/>
        <v>4.3600000000000003</v>
      </c>
      <c r="K15" s="165"/>
      <c r="L15" s="165"/>
      <c r="M15" s="165"/>
    </row>
    <row r="16" spans="1:18" s="164" customFormat="1" ht="15">
      <c r="A16" s="249"/>
      <c r="B16" s="574"/>
      <c r="C16" s="53">
        <v>4</v>
      </c>
      <c r="D16" s="184">
        <v>1.1499999999999999</v>
      </c>
      <c r="E16" s="56">
        <v>0.7</v>
      </c>
      <c r="F16" s="56">
        <v>0.75</v>
      </c>
      <c r="G16" s="585">
        <f t="shared" si="1"/>
        <v>2.4149999999999996</v>
      </c>
      <c r="H16" s="588"/>
      <c r="J16" s="165">
        <f t="shared" si="2"/>
        <v>4.5999999999999996</v>
      </c>
      <c r="K16" s="165"/>
      <c r="L16" s="165"/>
      <c r="M16" s="165"/>
    </row>
    <row r="17" spans="1:13" s="164" customFormat="1" ht="15">
      <c r="A17" s="249"/>
      <c r="B17" s="574"/>
      <c r="C17" s="53">
        <v>2</v>
      </c>
      <c r="D17" s="184">
        <v>4.835</v>
      </c>
      <c r="E17" s="56">
        <v>0.7</v>
      </c>
      <c r="F17" s="56">
        <v>0.75</v>
      </c>
      <c r="G17" s="585">
        <f t="shared" si="1"/>
        <v>5.0767499999999988</v>
      </c>
      <c r="H17" s="588"/>
      <c r="J17" s="165">
        <f t="shared" si="2"/>
        <v>9.67</v>
      </c>
      <c r="K17" s="165"/>
      <c r="L17" s="165"/>
      <c r="M17" s="165"/>
    </row>
    <row r="18" spans="1:13" s="164" customFormat="1" ht="15">
      <c r="A18" s="249"/>
      <c r="B18" s="171"/>
      <c r="C18" s="53">
        <v>2</v>
      </c>
      <c r="D18" s="184">
        <v>3.4950000000000001</v>
      </c>
      <c r="E18" s="56">
        <v>0.7</v>
      </c>
      <c r="F18" s="56">
        <v>0.75</v>
      </c>
      <c r="G18" s="585">
        <f t="shared" si="1"/>
        <v>3.6697499999999996</v>
      </c>
      <c r="H18" s="588"/>
      <c r="J18" s="165">
        <f t="shared" si="2"/>
        <v>6.99</v>
      </c>
      <c r="K18" s="165"/>
      <c r="L18" s="165"/>
      <c r="M18" s="165"/>
    </row>
    <row r="19" spans="1:13" s="164" customFormat="1" ht="15">
      <c r="A19" s="249"/>
      <c r="B19" s="171"/>
      <c r="C19" s="53">
        <v>2</v>
      </c>
      <c r="D19" s="184">
        <v>0.45500000000000002</v>
      </c>
      <c r="E19" s="56">
        <v>0.7</v>
      </c>
      <c r="F19" s="56">
        <v>0.75</v>
      </c>
      <c r="G19" s="585">
        <f t="shared" si="1"/>
        <v>0.47774999999999995</v>
      </c>
      <c r="H19" s="588"/>
      <c r="J19" s="165">
        <f t="shared" si="2"/>
        <v>0.91</v>
      </c>
      <c r="K19" s="165"/>
      <c r="L19" s="165"/>
      <c r="M19" s="165"/>
    </row>
    <row r="20" spans="1:13" s="164" customFormat="1" ht="15">
      <c r="A20" s="249"/>
      <c r="B20" s="171"/>
      <c r="C20" s="53">
        <v>1</v>
      </c>
      <c r="D20" s="184">
        <v>2.52</v>
      </c>
      <c r="E20" s="56">
        <v>0.7</v>
      </c>
      <c r="F20" s="56">
        <v>0.75</v>
      </c>
      <c r="G20" s="585">
        <f t="shared" si="1"/>
        <v>1.3229999999999997</v>
      </c>
      <c r="H20" s="588"/>
      <c r="J20" s="165">
        <f t="shared" si="2"/>
        <v>2.52</v>
      </c>
      <c r="K20" s="165"/>
      <c r="L20" s="165"/>
      <c r="M20" s="165"/>
    </row>
    <row r="21" spans="1:13" s="164" customFormat="1" ht="15">
      <c r="A21" s="249"/>
      <c r="B21" s="171"/>
      <c r="C21" s="53">
        <v>1</v>
      </c>
      <c r="D21" s="184">
        <v>4.7649999999999997</v>
      </c>
      <c r="E21" s="56">
        <v>0.7</v>
      </c>
      <c r="F21" s="56">
        <v>0.75</v>
      </c>
      <c r="G21" s="585">
        <f t="shared" si="1"/>
        <v>2.5016249999999993</v>
      </c>
      <c r="H21" s="588"/>
      <c r="J21" s="165">
        <f t="shared" si="2"/>
        <v>4.7649999999999997</v>
      </c>
      <c r="K21" s="165"/>
      <c r="L21" s="165"/>
      <c r="M21" s="165"/>
    </row>
    <row r="22" spans="1:13" s="164" customFormat="1" ht="15">
      <c r="A22" s="249"/>
      <c r="B22" s="171"/>
      <c r="C22" s="53">
        <v>1</v>
      </c>
      <c r="D22" s="184">
        <v>4.2850000000000001</v>
      </c>
      <c r="E22" s="56">
        <v>0.7</v>
      </c>
      <c r="F22" s="56">
        <v>0.75</v>
      </c>
      <c r="G22" s="585">
        <f t="shared" si="1"/>
        <v>2.2496249999999995</v>
      </c>
      <c r="H22" s="588"/>
      <c r="J22" s="165">
        <f t="shared" si="2"/>
        <v>4.2850000000000001</v>
      </c>
      <c r="K22" s="165"/>
      <c r="L22" s="165"/>
      <c r="M22" s="165"/>
    </row>
    <row r="23" spans="1:13" s="164" customFormat="1" ht="15">
      <c r="A23" s="249"/>
      <c r="B23" s="171"/>
      <c r="C23" s="53">
        <v>3</v>
      </c>
      <c r="D23" s="184">
        <v>2.4449999999999998</v>
      </c>
      <c r="E23" s="56">
        <v>0.7</v>
      </c>
      <c r="F23" s="56">
        <v>0.75</v>
      </c>
      <c r="G23" s="585">
        <f t="shared" si="1"/>
        <v>3.8508749999999994</v>
      </c>
      <c r="H23" s="588"/>
      <c r="J23" s="165">
        <f t="shared" si="2"/>
        <v>7.3349999999999991</v>
      </c>
      <c r="K23" s="165"/>
      <c r="L23" s="165"/>
      <c r="M23" s="165"/>
    </row>
    <row r="24" spans="1:13" s="164" customFormat="1" ht="15">
      <c r="A24" s="249"/>
      <c r="B24" s="171"/>
      <c r="C24" s="53">
        <v>1</v>
      </c>
      <c r="D24" s="184">
        <v>2.395</v>
      </c>
      <c r="E24" s="56">
        <v>0.7</v>
      </c>
      <c r="F24" s="56">
        <v>0.75</v>
      </c>
      <c r="G24" s="585">
        <f t="shared" si="1"/>
        <v>1.2573749999999997</v>
      </c>
      <c r="H24" s="588"/>
      <c r="J24" s="165">
        <f t="shared" si="2"/>
        <v>2.395</v>
      </c>
      <c r="K24" s="165"/>
      <c r="L24" s="165"/>
      <c r="M24" s="165"/>
    </row>
    <row r="25" spans="1:13" s="164" customFormat="1" ht="15">
      <c r="A25" s="249"/>
      <c r="B25" s="171"/>
      <c r="C25" s="53">
        <v>1</v>
      </c>
      <c r="D25" s="184">
        <v>2.42</v>
      </c>
      <c r="E25" s="56">
        <v>0.7</v>
      </c>
      <c r="F25" s="56">
        <v>0.75</v>
      </c>
      <c r="G25" s="585">
        <f t="shared" si="1"/>
        <v>1.2704999999999997</v>
      </c>
      <c r="H25" s="588"/>
      <c r="J25" s="165">
        <f t="shared" si="2"/>
        <v>2.42</v>
      </c>
      <c r="K25" s="165"/>
      <c r="L25" s="165"/>
      <c r="M25" s="165"/>
    </row>
    <row r="26" spans="1:13" s="164" customFormat="1" ht="15">
      <c r="A26" s="249"/>
      <c r="B26" s="171"/>
      <c r="C26" s="53">
        <v>2</v>
      </c>
      <c r="D26" s="184">
        <v>1.8</v>
      </c>
      <c r="E26" s="56">
        <v>0.7</v>
      </c>
      <c r="F26" s="56">
        <v>0.75</v>
      </c>
      <c r="G26" s="585">
        <f t="shared" si="1"/>
        <v>1.8899999999999997</v>
      </c>
      <c r="H26" s="588"/>
      <c r="J26" s="165">
        <f t="shared" si="2"/>
        <v>3.6</v>
      </c>
      <c r="K26" s="165"/>
      <c r="L26" s="165"/>
      <c r="M26" s="165"/>
    </row>
    <row r="27" spans="1:13" s="164" customFormat="1" ht="15">
      <c r="A27" s="249"/>
      <c r="B27" s="171"/>
      <c r="C27" s="53">
        <v>2</v>
      </c>
      <c r="D27" s="184">
        <v>3.3250000000000002</v>
      </c>
      <c r="E27" s="56">
        <v>0.7</v>
      </c>
      <c r="F27" s="56">
        <v>0.75</v>
      </c>
      <c r="G27" s="585">
        <f t="shared" si="1"/>
        <v>3.4912499999999995</v>
      </c>
      <c r="H27" s="588"/>
      <c r="J27" s="165">
        <f t="shared" si="2"/>
        <v>6.65</v>
      </c>
      <c r="K27" s="165"/>
      <c r="L27" s="165"/>
      <c r="M27" s="165"/>
    </row>
    <row r="28" spans="1:13" s="164" customFormat="1" ht="15">
      <c r="A28" s="249"/>
      <c r="B28" s="171"/>
      <c r="C28" s="53">
        <v>2</v>
      </c>
      <c r="D28" s="184">
        <v>3.2850000000000001</v>
      </c>
      <c r="E28" s="56">
        <v>0.7</v>
      </c>
      <c r="F28" s="56">
        <v>0.75</v>
      </c>
      <c r="G28" s="585">
        <f t="shared" si="1"/>
        <v>3.4492499999999997</v>
      </c>
      <c r="H28" s="588"/>
      <c r="J28" s="165">
        <f t="shared" si="2"/>
        <v>6.57</v>
      </c>
      <c r="K28" s="165"/>
      <c r="L28" s="165"/>
      <c r="M28" s="165"/>
    </row>
    <row r="29" spans="1:13" s="164" customFormat="1" ht="15">
      <c r="A29" s="249"/>
      <c r="B29" s="171"/>
      <c r="C29" s="53">
        <v>2</v>
      </c>
      <c r="D29" s="184">
        <v>3.4249999999999998</v>
      </c>
      <c r="E29" s="56">
        <v>0.7</v>
      </c>
      <c r="F29" s="56">
        <v>0.75</v>
      </c>
      <c r="G29" s="585">
        <f t="shared" si="1"/>
        <v>3.5962499999999991</v>
      </c>
      <c r="H29" s="588"/>
      <c r="J29" s="165">
        <f t="shared" si="2"/>
        <v>6.85</v>
      </c>
      <c r="K29" s="165"/>
      <c r="L29" s="165"/>
      <c r="M29" s="165"/>
    </row>
    <row r="30" spans="1:13" s="164" customFormat="1" ht="15">
      <c r="A30" s="249"/>
      <c r="B30" s="171"/>
      <c r="C30" s="53">
        <v>2</v>
      </c>
      <c r="D30" s="184">
        <v>4.78</v>
      </c>
      <c r="E30" s="56">
        <v>0.7</v>
      </c>
      <c r="F30" s="56">
        <v>0.75</v>
      </c>
      <c r="G30" s="585">
        <f t="shared" si="1"/>
        <v>5.0189999999999992</v>
      </c>
      <c r="H30" s="588"/>
      <c r="J30" s="165">
        <f t="shared" si="2"/>
        <v>9.56</v>
      </c>
      <c r="K30" s="165"/>
      <c r="L30" s="165"/>
      <c r="M30" s="165"/>
    </row>
    <row r="31" spans="1:13" s="164" customFormat="1" ht="15">
      <c r="A31" s="249"/>
      <c r="B31" s="171"/>
      <c r="C31" s="53">
        <v>4</v>
      </c>
      <c r="D31" s="184">
        <v>2.31</v>
      </c>
      <c r="E31" s="56">
        <v>0.7</v>
      </c>
      <c r="F31" s="56">
        <v>0.75</v>
      </c>
      <c r="G31" s="585">
        <f t="shared" si="1"/>
        <v>4.8509999999999991</v>
      </c>
      <c r="H31" s="588"/>
      <c r="J31" s="165">
        <f t="shared" si="2"/>
        <v>9.24</v>
      </c>
      <c r="K31" s="165"/>
      <c r="L31" s="165"/>
      <c r="M31" s="165"/>
    </row>
    <row r="32" spans="1:13" s="164" customFormat="1" ht="15">
      <c r="A32" s="249"/>
      <c r="B32" s="171"/>
      <c r="C32" s="53">
        <v>4</v>
      </c>
      <c r="D32" s="184">
        <v>2.2850000000000001</v>
      </c>
      <c r="E32" s="56">
        <v>0.7</v>
      </c>
      <c r="F32" s="56">
        <v>0.75</v>
      </c>
      <c r="G32" s="585">
        <f t="shared" si="1"/>
        <v>4.7984999999999998</v>
      </c>
      <c r="H32" s="588"/>
      <c r="J32" s="165">
        <f t="shared" si="2"/>
        <v>9.14</v>
      </c>
      <c r="K32" s="165"/>
      <c r="L32" s="165"/>
      <c r="M32" s="165"/>
    </row>
    <row r="33" spans="1:18" s="164" customFormat="1" ht="15">
      <c r="A33" s="249"/>
      <c r="B33" s="171"/>
      <c r="C33" s="53">
        <v>2</v>
      </c>
      <c r="D33" s="184">
        <v>2.1549999999999998</v>
      </c>
      <c r="E33" s="56">
        <v>0.7</v>
      </c>
      <c r="F33" s="56">
        <v>0.75</v>
      </c>
      <c r="G33" s="585">
        <f t="shared" si="1"/>
        <v>2.2627499999999996</v>
      </c>
      <c r="H33" s="588"/>
      <c r="J33" s="165">
        <f t="shared" si="2"/>
        <v>4.3099999999999996</v>
      </c>
      <c r="K33" s="165"/>
      <c r="L33" s="165"/>
      <c r="M33" s="165"/>
    </row>
    <row r="34" spans="1:18" s="164" customFormat="1" ht="15">
      <c r="A34" s="249"/>
      <c r="B34" s="171"/>
      <c r="C34" s="53">
        <v>2</v>
      </c>
      <c r="D34" s="184">
        <v>3.14</v>
      </c>
      <c r="E34" s="56">
        <v>0.7</v>
      </c>
      <c r="F34" s="56">
        <v>0.75</v>
      </c>
      <c r="G34" s="585">
        <f t="shared" si="1"/>
        <v>3.2969999999999997</v>
      </c>
      <c r="H34" s="588"/>
      <c r="J34" s="165">
        <f t="shared" si="2"/>
        <v>6.28</v>
      </c>
      <c r="K34" s="165"/>
      <c r="L34" s="165"/>
      <c r="M34" s="165"/>
    </row>
    <row r="35" spans="1:18" s="164" customFormat="1" ht="15">
      <c r="A35" s="249"/>
      <c r="B35" s="171"/>
      <c r="C35" s="53">
        <v>1</v>
      </c>
      <c r="D35" s="184">
        <v>8.08</v>
      </c>
      <c r="E35" s="56">
        <v>0.7</v>
      </c>
      <c r="F35" s="56">
        <v>0.75</v>
      </c>
      <c r="G35" s="585">
        <f t="shared" si="1"/>
        <v>4.2419999999999991</v>
      </c>
      <c r="H35" s="588"/>
      <c r="J35" s="165">
        <f t="shared" si="2"/>
        <v>8.08</v>
      </c>
      <c r="K35" s="165"/>
      <c r="L35" s="165"/>
      <c r="M35" s="165"/>
    </row>
    <row r="36" spans="1:18" s="164" customFormat="1" ht="15">
      <c r="A36" s="249"/>
      <c r="B36" s="171"/>
      <c r="C36" s="53">
        <v>2</v>
      </c>
      <c r="D36" s="184">
        <v>3.15</v>
      </c>
      <c r="E36" s="56">
        <v>0.7</v>
      </c>
      <c r="F36" s="56">
        <v>0.75</v>
      </c>
      <c r="G36" s="585">
        <f t="shared" si="1"/>
        <v>3.3074999999999992</v>
      </c>
      <c r="H36" s="588"/>
      <c r="J36" s="165">
        <f t="shared" si="2"/>
        <v>6.3</v>
      </c>
      <c r="K36" s="165"/>
      <c r="L36" s="165"/>
      <c r="M36" s="165"/>
    </row>
    <row r="37" spans="1:18" s="164" customFormat="1" ht="15">
      <c r="A37" s="249"/>
      <c r="B37" s="171"/>
      <c r="C37" s="53">
        <v>8</v>
      </c>
      <c r="D37" s="184">
        <v>3.35</v>
      </c>
      <c r="E37" s="56">
        <v>0.7</v>
      </c>
      <c r="F37" s="56">
        <v>0.75</v>
      </c>
      <c r="G37" s="585">
        <f t="shared" si="1"/>
        <v>14.069999999999999</v>
      </c>
      <c r="H37" s="588"/>
      <c r="J37" s="165">
        <f t="shared" si="2"/>
        <v>26.8</v>
      </c>
      <c r="K37" s="165"/>
      <c r="L37" s="165"/>
      <c r="M37" s="165"/>
    </row>
    <row r="38" spans="1:18" s="164" customFormat="1" ht="15">
      <c r="A38" s="249"/>
      <c r="B38" s="171"/>
      <c r="C38" s="53">
        <v>2</v>
      </c>
      <c r="D38" s="184">
        <v>3.4</v>
      </c>
      <c r="E38" s="56">
        <v>0.7</v>
      </c>
      <c r="F38" s="56">
        <v>0.75</v>
      </c>
      <c r="G38" s="585">
        <f t="shared" si="1"/>
        <v>3.5699999999999994</v>
      </c>
      <c r="H38" s="588"/>
      <c r="J38" s="165">
        <f t="shared" si="2"/>
        <v>6.8</v>
      </c>
      <c r="K38" s="165"/>
      <c r="L38" s="165"/>
      <c r="M38" s="165"/>
    </row>
    <row r="39" spans="1:18" s="164" customFormat="1" ht="15">
      <c r="A39" s="249"/>
      <c r="B39" s="171"/>
      <c r="C39" s="53">
        <v>2</v>
      </c>
      <c r="D39" s="184">
        <v>1.55</v>
      </c>
      <c r="E39" s="56">
        <v>0.7</v>
      </c>
      <c r="F39" s="56">
        <v>0.75</v>
      </c>
      <c r="G39" s="585">
        <f t="shared" si="1"/>
        <v>1.6274999999999997</v>
      </c>
      <c r="H39" s="588"/>
      <c r="J39" s="165">
        <f t="shared" si="2"/>
        <v>3.1</v>
      </c>
      <c r="K39" s="165"/>
      <c r="L39" s="165"/>
      <c r="M39" s="165"/>
    </row>
    <row r="40" spans="1:18" s="164" customFormat="1" ht="15">
      <c r="A40" s="249"/>
      <c r="B40" s="171"/>
      <c r="C40" s="53">
        <v>2</v>
      </c>
      <c r="D40" s="184">
        <v>3.3250000000000002</v>
      </c>
      <c r="E40" s="56">
        <v>0.7</v>
      </c>
      <c r="F40" s="56">
        <v>0.75</v>
      </c>
      <c r="G40" s="585">
        <f t="shared" si="1"/>
        <v>3.4912499999999995</v>
      </c>
      <c r="H40" s="588"/>
      <c r="J40" s="165">
        <f t="shared" si="2"/>
        <v>6.65</v>
      </c>
      <c r="K40" s="165"/>
      <c r="L40" s="165"/>
      <c r="M40" s="165"/>
    </row>
    <row r="41" spans="1:18" s="164" customFormat="1" ht="15">
      <c r="A41" s="249"/>
      <c r="B41" s="171"/>
      <c r="C41" s="53">
        <v>2</v>
      </c>
      <c r="D41" s="184">
        <v>3.2850000000000001</v>
      </c>
      <c r="E41" s="56">
        <v>0.7</v>
      </c>
      <c r="F41" s="56">
        <v>0.75</v>
      </c>
      <c r="G41" s="585">
        <f t="shared" si="1"/>
        <v>3.4492499999999997</v>
      </c>
      <c r="H41" s="588"/>
      <c r="J41" s="165">
        <f t="shared" si="2"/>
        <v>6.57</v>
      </c>
      <c r="K41" s="165"/>
      <c r="L41" s="165"/>
      <c r="M41" s="165"/>
    </row>
    <row r="42" spans="1:18" s="164" customFormat="1" ht="15">
      <c r="A42" s="249"/>
      <c r="B42" s="171"/>
      <c r="C42" s="53">
        <v>2</v>
      </c>
      <c r="D42" s="184">
        <v>3.4249999999999998</v>
      </c>
      <c r="E42" s="56">
        <v>0.7</v>
      </c>
      <c r="F42" s="56">
        <v>0.75</v>
      </c>
      <c r="G42" s="585">
        <f t="shared" si="1"/>
        <v>3.5962499999999991</v>
      </c>
      <c r="H42" s="588"/>
      <c r="J42" s="165">
        <f t="shared" si="2"/>
        <v>6.85</v>
      </c>
      <c r="K42" s="165"/>
      <c r="L42" s="165"/>
      <c r="M42" s="165"/>
    </row>
    <row r="43" spans="1:18" s="164" customFormat="1" ht="15">
      <c r="A43" s="249"/>
      <c r="B43" s="171"/>
      <c r="C43" s="53">
        <v>2</v>
      </c>
      <c r="D43" s="184">
        <v>0.9</v>
      </c>
      <c r="E43" s="56">
        <v>0.7</v>
      </c>
      <c r="F43" s="56">
        <v>0.75</v>
      </c>
      <c r="G43" s="628">
        <f t="shared" si="1"/>
        <v>0.94499999999999984</v>
      </c>
      <c r="H43" s="588"/>
      <c r="J43" s="165">
        <f t="shared" si="2"/>
        <v>1.8</v>
      </c>
      <c r="K43" s="165"/>
      <c r="L43" s="165"/>
      <c r="M43" s="165"/>
    </row>
    <row r="44" spans="1:18" s="164" customFormat="1" ht="15">
      <c r="A44" s="249"/>
      <c r="B44" s="171"/>
      <c r="C44" s="53"/>
      <c r="D44" s="184"/>
      <c r="E44" s="56"/>
      <c r="F44" s="56"/>
      <c r="G44" s="754">
        <f>SUM(G7:G43)</f>
        <v>1140.4404499872005</v>
      </c>
      <c r="H44" s="588"/>
      <c r="J44" s="165"/>
      <c r="K44" s="165"/>
      <c r="L44" s="165"/>
      <c r="M44" s="165"/>
    </row>
    <row r="45" spans="1:18" s="164" customFormat="1" ht="15">
      <c r="A45" s="249"/>
      <c r="B45" s="171"/>
      <c r="C45" s="53"/>
      <c r="D45" s="184"/>
      <c r="E45" s="56"/>
      <c r="F45" s="56"/>
      <c r="G45" s="656">
        <f>G44*10%</f>
        <v>114.04404499872005</v>
      </c>
      <c r="H45" s="588"/>
      <c r="J45" s="165"/>
      <c r="K45" s="165"/>
      <c r="L45" s="165"/>
      <c r="M45" s="165"/>
    </row>
    <row r="46" spans="1:18" s="149" customFormat="1">
      <c r="A46" s="135"/>
      <c r="B46" s="514"/>
      <c r="C46" s="4"/>
      <c r="D46" s="4"/>
      <c r="E46" s="4"/>
      <c r="F46" s="4"/>
      <c r="G46" s="551">
        <f>G44+G45</f>
        <v>1254.4844949859205</v>
      </c>
      <c r="H46" s="642" t="s">
        <v>25</v>
      </c>
      <c r="I46" s="164"/>
      <c r="J46" s="121">
        <f>SUM(J13:J43)</f>
        <v>279.84000000000003</v>
      </c>
      <c r="K46" s="121"/>
      <c r="L46" s="121"/>
      <c r="M46" s="165"/>
      <c r="N46" s="164"/>
      <c r="O46" s="164"/>
      <c r="P46" s="164"/>
      <c r="Q46" s="164"/>
      <c r="R46" s="164"/>
    </row>
    <row r="47" spans="1:18" s="164" customFormat="1">
      <c r="A47" s="249"/>
      <c r="E47" s="165"/>
      <c r="G47" s="554"/>
      <c r="J47" s="165"/>
      <c r="K47" s="165"/>
      <c r="L47" s="173"/>
      <c r="M47" s="165"/>
    </row>
    <row r="48" spans="1:18" s="149" customFormat="1" ht="15.75">
      <c r="A48" s="135">
        <v>2</v>
      </c>
      <c r="B48" s="575" t="s">
        <v>600</v>
      </c>
      <c r="C48" s="575"/>
      <c r="E48" s="121"/>
      <c r="H48" s="430"/>
      <c r="I48" s="164"/>
      <c r="J48" s="121"/>
      <c r="K48" s="121"/>
      <c r="L48" s="120"/>
      <c r="M48" s="165"/>
      <c r="N48" s="164"/>
      <c r="O48" s="164"/>
      <c r="P48" s="164"/>
      <c r="Q48" s="164"/>
      <c r="R48" s="164"/>
    </row>
    <row r="49" spans="1:18" s="264" customFormat="1" ht="15.75">
      <c r="A49" s="576"/>
      <c r="B49" s="577" t="s">
        <v>1242</v>
      </c>
      <c r="C49" s="4"/>
      <c r="D49" s="57"/>
      <c r="E49" s="57"/>
      <c r="F49" s="57"/>
      <c r="G49" s="578"/>
      <c r="H49" s="503"/>
      <c r="I49" s="504"/>
      <c r="J49" s="121"/>
      <c r="K49" s="121"/>
      <c r="L49" s="121"/>
      <c r="M49" s="177"/>
      <c r="N49" s="504"/>
      <c r="O49" s="504"/>
      <c r="P49" s="504"/>
      <c r="Q49" s="504"/>
      <c r="R49" s="504"/>
    </row>
    <row r="50" spans="1:18" s="264" customFormat="1" ht="15">
      <c r="A50" s="576"/>
      <c r="B50" s="568" t="s">
        <v>1299</v>
      </c>
      <c r="C50" s="569">
        <v>41</v>
      </c>
      <c r="D50" s="57">
        <v>1.85</v>
      </c>
      <c r="E50" s="57">
        <v>1.85</v>
      </c>
      <c r="F50" s="57">
        <f t="shared" ref="F50:F55" si="3">0.5*0.3</f>
        <v>0.15</v>
      </c>
      <c r="G50" s="629">
        <f t="shared" ref="G50:G91" si="4">F50*E50*D50*C50</f>
        <v>21.048375</v>
      </c>
      <c r="H50" s="503"/>
      <c r="I50" s="504"/>
      <c r="J50" s="121"/>
      <c r="K50" s="121"/>
      <c r="L50" s="121"/>
      <c r="M50" s="177"/>
      <c r="N50" s="504"/>
      <c r="O50" s="504"/>
      <c r="P50" s="504"/>
      <c r="Q50" s="504"/>
      <c r="R50" s="504"/>
    </row>
    <row r="51" spans="1:18" s="264" customFormat="1" ht="15">
      <c r="A51" s="576"/>
      <c r="B51" s="568" t="s">
        <v>1300</v>
      </c>
      <c r="C51" s="569">
        <v>37</v>
      </c>
      <c r="D51" s="57">
        <v>2</v>
      </c>
      <c r="E51" s="57">
        <v>2</v>
      </c>
      <c r="F51" s="57">
        <f t="shared" si="3"/>
        <v>0.15</v>
      </c>
      <c r="G51" s="629">
        <f t="shared" si="4"/>
        <v>22.2</v>
      </c>
      <c r="H51" s="503"/>
      <c r="I51" s="504"/>
      <c r="J51" s="121"/>
      <c r="K51" s="121"/>
      <c r="L51" s="121"/>
      <c r="M51" s="177"/>
      <c r="N51" s="504"/>
      <c r="O51" s="504"/>
      <c r="P51" s="504"/>
      <c r="Q51" s="504"/>
      <c r="R51" s="504"/>
    </row>
    <row r="52" spans="1:18" s="264" customFormat="1" ht="15">
      <c r="A52" s="576"/>
      <c r="B52" s="568" t="s">
        <v>1301</v>
      </c>
      <c r="C52" s="569">
        <v>7</v>
      </c>
      <c r="D52" s="57">
        <v>1.55</v>
      </c>
      <c r="E52" s="57">
        <v>1.55</v>
      </c>
      <c r="F52" s="57">
        <f t="shared" si="3"/>
        <v>0.15</v>
      </c>
      <c r="G52" s="629">
        <f t="shared" si="4"/>
        <v>2.5226250000000001</v>
      </c>
      <c r="H52" s="503"/>
      <c r="I52" s="504"/>
      <c r="J52" s="121"/>
      <c r="K52" s="121"/>
      <c r="L52" s="121"/>
      <c r="M52" s="177"/>
      <c r="N52" s="504"/>
      <c r="O52" s="504"/>
      <c r="P52" s="504"/>
      <c r="Q52" s="504"/>
      <c r="R52" s="504"/>
    </row>
    <row r="53" spans="1:18" s="264" customFormat="1" ht="15">
      <c r="A53" s="576"/>
      <c r="B53" s="568" t="s">
        <v>1378</v>
      </c>
      <c r="C53" s="569">
        <v>4</v>
      </c>
      <c r="D53" s="57">
        <v>3.32</v>
      </c>
      <c r="E53" s="57">
        <v>2.17</v>
      </c>
      <c r="F53" s="57">
        <f t="shared" si="3"/>
        <v>0.15</v>
      </c>
      <c r="G53" s="629">
        <f t="shared" si="4"/>
        <v>4.3226399999999989</v>
      </c>
      <c r="H53" s="503"/>
      <c r="I53" s="504"/>
      <c r="J53" s="121"/>
      <c r="K53" s="121"/>
      <c r="L53" s="121"/>
      <c r="M53" s="177"/>
      <c r="N53" s="504"/>
      <c r="O53" s="504"/>
      <c r="P53" s="504"/>
      <c r="Q53" s="504"/>
      <c r="R53" s="504"/>
    </row>
    <row r="54" spans="1:18" s="264" customFormat="1" ht="15">
      <c r="A54" s="576"/>
      <c r="B54" s="568" t="s">
        <v>1379</v>
      </c>
      <c r="C54" s="569">
        <v>4</v>
      </c>
      <c r="D54" s="1277">
        <f>6626657.1244/1000000</f>
        <v>6.6266571244000003</v>
      </c>
      <c r="E54" s="1277"/>
      <c r="F54" s="57">
        <f t="shared" si="3"/>
        <v>0.15</v>
      </c>
      <c r="G54" s="629">
        <f>F54*D54*C54</f>
        <v>3.9759942746400001</v>
      </c>
      <c r="H54" s="503"/>
      <c r="I54" s="504"/>
      <c r="J54" s="121"/>
      <c r="K54" s="121"/>
      <c r="L54" s="121"/>
      <c r="M54" s="177"/>
      <c r="N54" s="504"/>
      <c r="O54" s="504"/>
      <c r="P54" s="504"/>
      <c r="Q54" s="504"/>
      <c r="R54" s="504"/>
    </row>
    <row r="55" spans="1:18" s="264" customFormat="1" ht="15">
      <c r="A55" s="576"/>
      <c r="B55" s="568" t="s">
        <v>1380</v>
      </c>
      <c r="C55" s="569">
        <v>4</v>
      </c>
      <c r="D55" s="57">
        <v>2.25</v>
      </c>
      <c r="E55" s="57">
        <v>3.5</v>
      </c>
      <c r="F55" s="57">
        <f t="shared" si="3"/>
        <v>0.15</v>
      </c>
      <c r="G55" s="629">
        <f>F55*E55*D55*C55</f>
        <v>4.7250000000000005</v>
      </c>
      <c r="H55" s="503"/>
      <c r="I55" s="504"/>
      <c r="J55" s="121"/>
      <c r="K55" s="121"/>
      <c r="L55" s="121"/>
      <c r="M55" s="177"/>
      <c r="N55" s="504"/>
      <c r="O55" s="504"/>
      <c r="P55" s="504"/>
      <c r="Q55" s="504"/>
      <c r="R55" s="504"/>
    </row>
    <row r="56" spans="1:18" s="264" customFormat="1" ht="15">
      <c r="A56" s="576"/>
      <c r="B56" s="568" t="s">
        <v>481</v>
      </c>
      <c r="C56" s="569">
        <v>2</v>
      </c>
      <c r="D56" s="57">
        <v>1.8</v>
      </c>
      <c r="E56" s="57">
        <v>0.5</v>
      </c>
      <c r="F56" s="57">
        <v>0.15</v>
      </c>
      <c r="G56" s="629">
        <f t="shared" si="4"/>
        <v>0.27</v>
      </c>
      <c r="H56" s="503"/>
      <c r="I56" s="504"/>
      <c r="J56" s="121"/>
      <c r="K56" s="121"/>
      <c r="L56" s="121"/>
      <c r="M56" s="177"/>
      <c r="N56" s="504"/>
      <c r="O56" s="504"/>
      <c r="P56" s="504"/>
      <c r="Q56" s="504"/>
      <c r="R56" s="504"/>
    </row>
    <row r="57" spans="1:18" s="264" customFormat="1" ht="15">
      <c r="A57" s="576"/>
      <c r="B57" s="568"/>
      <c r="C57" s="569">
        <v>1</v>
      </c>
      <c r="D57" s="57">
        <v>4.5</v>
      </c>
      <c r="E57" s="57">
        <v>0.75</v>
      </c>
      <c r="F57" s="57">
        <v>0.15</v>
      </c>
      <c r="G57" s="629">
        <f t="shared" si="4"/>
        <v>0.50624999999999998</v>
      </c>
      <c r="H57" s="503"/>
      <c r="I57" s="504"/>
      <c r="J57" s="121"/>
      <c r="K57" s="121"/>
      <c r="L57" s="121"/>
      <c r="M57" s="177"/>
      <c r="N57" s="504"/>
      <c r="O57" s="504"/>
      <c r="P57" s="504"/>
      <c r="Q57" s="504"/>
      <c r="R57" s="504"/>
    </row>
    <row r="58" spans="1:18" s="264" customFormat="1" ht="15">
      <c r="A58" s="576"/>
      <c r="B58" s="568"/>
      <c r="C58" s="569">
        <v>2</v>
      </c>
      <c r="D58" s="57">
        <v>2.4</v>
      </c>
      <c r="E58" s="57">
        <v>0.5</v>
      </c>
      <c r="F58" s="57">
        <v>0.15</v>
      </c>
      <c r="G58" s="629">
        <f t="shared" si="4"/>
        <v>0.36</v>
      </c>
      <c r="H58" s="503"/>
      <c r="I58" s="504"/>
      <c r="J58" s="121"/>
      <c r="K58" s="121"/>
      <c r="L58" s="121"/>
      <c r="M58" s="177"/>
      <c r="N58" s="504"/>
      <c r="O58" s="504"/>
      <c r="P58" s="504"/>
      <c r="Q58" s="504"/>
      <c r="R58" s="504"/>
    </row>
    <row r="59" spans="1:18" s="264" customFormat="1">
      <c r="A59" s="576"/>
      <c r="B59" s="573" t="s">
        <v>1241</v>
      </c>
      <c r="C59" s="53">
        <v>12</v>
      </c>
      <c r="D59" s="184">
        <v>4.38</v>
      </c>
      <c r="E59" s="56">
        <v>0.7</v>
      </c>
      <c r="F59" s="56">
        <f>0.5*0.3</f>
        <v>0.15</v>
      </c>
      <c r="G59" s="629">
        <f t="shared" si="4"/>
        <v>5.5187999999999997</v>
      </c>
      <c r="H59" s="503"/>
      <c r="I59" s="504"/>
      <c r="J59" s="121"/>
      <c r="K59" s="121"/>
      <c r="L59" s="121"/>
      <c r="M59" s="177"/>
      <c r="N59" s="504"/>
      <c r="O59" s="504"/>
      <c r="P59" s="504"/>
      <c r="Q59" s="504"/>
      <c r="R59" s="504"/>
    </row>
    <row r="60" spans="1:18" s="264" customFormat="1">
      <c r="A60" s="576"/>
      <c r="B60" s="574"/>
      <c r="C60" s="53">
        <v>12</v>
      </c>
      <c r="D60" s="184">
        <v>3.49</v>
      </c>
      <c r="E60" s="56">
        <v>0.7</v>
      </c>
      <c r="F60" s="56">
        <f t="shared" ref="F60:F89" si="5">0.5*0.3</f>
        <v>0.15</v>
      </c>
      <c r="G60" s="629">
        <f t="shared" si="4"/>
        <v>4.3974000000000002</v>
      </c>
      <c r="H60" s="503"/>
      <c r="I60" s="504"/>
      <c r="J60" s="121"/>
      <c r="K60" s="121"/>
      <c r="L60" s="121"/>
      <c r="M60" s="177"/>
      <c r="N60" s="504"/>
      <c r="O60" s="504"/>
      <c r="P60" s="504"/>
      <c r="Q60" s="504"/>
      <c r="R60" s="504"/>
    </row>
    <row r="61" spans="1:18" s="264" customFormat="1">
      <c r="A61" s="576"/>
      <c r="B61" s="574"/>
      <c r="C61" s="53">
        <v>4</v>
      </c>
      <c r="D61" s="184">
        <v>1.0900000000000001</v>
      </c>
      <c r="E61" s="56">
        <v>0.7</v>
      </c>
      <c r="F61" s="56">
        <f t="shared" si="5"/>
        <v>0.15</v>
      </c>
      <c r="G61" s="629">
        <f t="shared" si="4"/>
        <v>0.45780000000000004</v>
      </c>
      <c r="H61" s="503"/>
      <c r="I61" s="504"/>
      <c r="J61" s="121"/>
      <c r="K61" s="121"/>
      <c r="L61" s="121"/>
      <c r="M61" s="177"/>
      <c r="N61" s="504"/>
      <c r="O61" s="504"/>
      <c r="P61" s="504"/>
      <c r="Q61" s="504"/>
      <c r="R61" s="504"/>
    </row>
    <row r="62" spans="1:18" s="264" customFormat="1">
      <c r="A62" s="576"/>
      <c r="B62" s="574"/>
      <c r="C62" s="53">
        <v>4</v>
      </c>
      <c r="D62" s="184">
        <v>1.1499999999999999</v>
      </c>
      <c r="E62" s="56">
        <v>0.7</v>
      </c>
      <c r="F62" s="56">
        <f t="shared" si="5"/>
        <v>0.15</v>
      </c>
      <c r="G62" s="629">
        <f t="shared" si="4"/>
        <v>0.48299999999999993</v>
      </c>
      <c r="H62" s="503"/>
      <c r="I62" s="504"/>
      <c r="J62" s="121"/>
      <c r="K62" s="121"/>
      <c r="L62" s="121"/>
      <c r="M62" s="177"/>
      <c r="N62" s="504"/>
      <c r="O62" s="504"/>
      <c r="P62" s="504"/>
      <c r="Q62" s="504"/>
      <c r="R62" s="504"/>
    </row>
    <row r="63" spans="1:18" s="264" customFormat="1">
      <c r="A63" s="576"/>
      <c r="B63" s="574"/>
      <c r="C63" s="53">
        <v>2</v>
      </c>
      <c r="D63" s="184">
        <v>4.835</v>
      </c>
      <c r="E63" s="56">
        <v>0.7</v>
      </c>
      <c r="F63" s="56">
        <f t="shared" si="5"/>
        <v>0.15</v>
      </c>
      <c r="G63" s="629">
        <f t="shared" si="4"/>
        <v>1.01535</v>
      </c>
      <c r="H63" s="503"/>
      <c r="I63" s="504"/>
      <c r="J63" s="659"/>
      <c r="K63" s="177"/>
      <c r="L63" s="177"/>
      <c r="M63" s="177"/>
      <c r="N63" s="504"/>
      <c r="O63" s="504"/>
      <c r="P63" s="504"/>
      <c r="Q63" s="504"/>
      <c r="R63" s="504"/>
    </row>
    <row r="64" spans="1:18" s="264" customFormat="1">
      <c r="A64" s="576"/>
      <c r="B64" s="574"/>
      <c r="C64" s="53">
        <v>2</v>
      </c>
      <c r="D64" s="184">
        <v>3.4950000000000001</v>
      </c>
      <c r="E64" s="56">
        <v>0.7</v>
      </c>
      <c r="F64" s="56">
        <f t="shared" si="5"/>
        <v>0.15</v>
      </c>
      <c r="G64" s="629">
        <f t="shared" si="4"/>
        <v>0.73394999999999999</v>
      </c>
      <c r="H64" s="503"/>
      <c r="I64" s="504"/>
      <c r="J64" s="659"/>
      <c r="K64" s="177"/>
      <c r="L64" s="177"/>
      <c r="M64" s="177"/>
      <c r="N64" s="504"/>
      <c r="O64" s="504"/>
      <c r="P64" s="504"/>
      <c r="Q64" s="504"/>
      <c r="R64" s="504"/>
    </row>
    <row r="65" spans="1:18" s="264" customFormat="1">
      <c r="A65" s="576"/>
      <c r="B65" s="574"/>
      <c r="C65" s="53">
        <v>2</v>
      </c>
      <c r="D65" s="184">
        <v>0.45500000000000002</v>
      </c>
      <c r="E65" s="56">
        <v>0.7</v>
      </c>
      <c r="F65" s="56">
        <f t="shared" si="5"/>
        <v>0.15</v>
      </c>
      <c r="G65" s="629">
        <f t="shared" si="4"/>
        <v>9.5549999999999996E-2</v>
      </c>
      <c r="H65" s="503"/>
      <c r="I65" s="504"/>
      <c r="J65" s="659"/>
      <c r="K65" s="177"/>
      <c r="L65" s="177"/>
      <c r="M65" s="177"/>
      <c r="N65" s="504"/>
      <c r="O65" s="504"/>
      <c r="P65" s="504"/>
      <c r="Q65" s="504"/>
      <c r="R65" s="504"/>
    </row>
    <row r="66" spans="1:18" s="264" customFormat="1">
      <c r="A66" s="576"/>
      <c r="B66" s="574"/>
      <c r="C66" s="53">
        <v>1</v>
      </c>
      <c r="D66" s="184">
        <v>2.52</v>
      </c>
      <c r="E66" s="56">
        <v>0.7</v>
      </c>
      <c r="F66" s="56">
        <f t="shared" si="5"/>
        <v>0.15</v>
      </c>
      <c r="G66" s="629">
        <f t="shared" si="4"/>
        <v>0.2646</v>
      </c>
      <c r="H66" s="503"/>
      <c r="I66" s="504"/>
      <c r="J66" s="659"/>
      <c r="K66" s="177"/>
      <c r="L66" s="177"/>
      <c r="M66" s="177"/>
      <c r="N66" s="504"/>
      <c r="O66" s="504"/>
      <c r="P66" s="504"/>
      <c r="Q66" s="504"/>
      <c r="R66" s="504"/>
    </row>
    <row r="67" spans="1:18" s="264" customFormat="1">
      <c r="A67" s="576"/>
      <c r="B67" s="574"/>
      <c r="C67" s="53">
        <v>1</v>
      </c>
      <c r="D67" s="184">
        <v>4.7649999999999997</v>
      </c>
      <c r="E67" s="56">
        <v>0.7</v>
      </c>
      <c r="F67" s="56">
        <f t="shared" si="5"/>
        <v>0.15</v>
      </c>
      <c r="G67" s="629">
        <f t="shared" si="4"/>
        <v>0.50032499999999991</v>
      </c>
      <c r="H67" s="503"/>
      <c r="I67" s="504"/>
      <c r="J67" s="659"/>
      <c r="K67" s="177"/>
      <c r="L67" s="177"/>
      <c r="M67" s="177"/>
      <c r="N67" s="504"/>
      <c r="O67" s="504"/>
      <c r="P67" s="504"/>
      <c r="Q67" s="504"/>
      <c r="R67" s="504"/>
    </row>
    <row r="68" spans="1:18" s="264" customFormat="1">
      <c r="A68" s="576"/>
      <c r="B68" s="574"/>
      <c r="C68" s="53">
        <v>1</v>
      </c>
      <c r="D68" s="184">
        <v>4.2850000000000001</v>
      </c>
      <c r="E68" s="56">
        <v>0.7</v>
      </c>
      <c r="F68" s="56">
        <f t="shared" si="5"/>
        <v>0.15</v>
      </c>
      <c r="G68" s="629">
        <f t="shared" si="4"/>
        <v>0.44992500000000002</v>
      </c>
      <c r="H68" s="503"/>
      <c r="I68" s="504"/>
      <c r="J68" s="659"/>
      <c r="K68" s="177"/>
      <c r="L68" s="177"/>
      <c r="M68" s="177"/>
      <c r="N68" s="504"/>
      <c r="O68" s="504"/>
      <c r="P68" s="504"/>
      <c r="Q68" s="504"/>
      <c r="R68" s="504"/>
    </row>
    <row r="69" spans="1:18" s="264" customFormat="1">
      <c r="A69" s="576"/>
      <c r="B69" s="574"/>
      <c r="C69" s="53">
        <v>3</v>
      </c>
      <c r="D69" s="184">
        <v>2.4449999999999998</v>
      </c>
      <c r="E69" s="56">
        <v>0.7</v>
      </c>
      <c r="F69" s="56">
        <f t="shared" si="5"/>
        <v>0.15</v>
      </c>
      <c r="G69" s="629">
        <f t="shared" si="4"/>
        <v>0.77017499999999994</v>
      </c>
      <c r="H69" s="503"/>
      <c r="I69" s="504"/>
      <c r="J69" s="659"/>
      <c r="K69" s="177"/>
      <c r="L69" s="177"/>
      <c r="M69" s="177"/>
      <c r="N69" s="504"/>
      <c r="O69" s="504"/>
      <c r="P69" s="504"/>
      <c r="Q69" s="504"/>
      <c r="R69" s="504"/>
    </row>
    <row r="70" spans="1:18" s="264" customFormat="1">
      <c r="A70" s="576"/>
      <c r="B70" s="574"/>
      <c r="C70" s="53">
        <v>1</v>
      </c>
      <c r="D70" s="184">
        <v>2.395</v>
      </c>
      <c r="E70" s="56">
        <v>0.7</v>
      </c>
      <c r="F70" s="56">
        <f t="shared" si="5"/>
        <v>0.15</v>
      </c>
      <c r="G70" s="629">
        <f t="shared" si="4"/>
        <v>0.251475</v>
      </c>
      <c r="H70" s="503"/>
      <c r="I70" s="504"/>
      <c r="J70" s="659"/>
      <c r="K70" s="177"/>
      <c r="L70" s="177"/>
      <c r="M70" s="177"/>
      <c r="N70" s="504"/>
      <c r="O70" s="504"/>
      <c r="P70" s="504"/>
      <c r="Q70" s="504"/>
      <c r="R70" s="504"/>
    </row>
    <row r="71" spans="1:18" s="264" customFormat="1">
      <c r="A71" s="576"/>
      <c r="B71" s="574"/>
      <c r="C71" s="53">
        <v>1</v>
      </c>
      <c r="D71" s="184">
        <v>2.42</v>
      </c>
      <c r="E71" s="56">
        <v>0.7</v>
      </c>
      <c r="F71" s="56">
        <f t="shared" si="5"/>
        <v>0.15</v>
      </c>
      <c r="G71" s="629">
        <f t="shared" si="4"/>
        <v>0.25409999999999999</v>
      </c>
      <c r="H71" s="503"/>
      <c r="I71" s="504"/>
      <c r="J71" s="659"/>
      <c r="K71" s="177"/>
      <c r="L71" s="177"/>
      <c r="M71" s="177"/>
      <c r="N71" s="504"/>
      <c r="O71" s="504"/>
      <c r="P71" s="504"/>
      <c r="Q71" s="504"/>
      <c r="R71" s="504"/>
    </row>
    <row r="72" spans="1:18" s="264" customFormat="1">
      <c r="A72" s="576"/>
      <c r="B72" s="574"/>
      <c r="C72" s="53">
        <v>2</v>
      </c>
      <c r="D72" s="184">
        <v>1.8</v>
      </c>
      <c r="E72" s="56">
        <v>0.7</v>
      </c>
      <c r="F72" s="56">
        <f t="shared" si="5"/>
        <v>0.15</v>
      </c>
      <c r="G72" s="629">
        <f t="shared" si="4"/>
        <v>0.378</v>
      </c>
      <c r="H72" s="503"/>
      <c r="I72" s="504"/>
      <c r="J72" s="659"/>
      <c r="K72" s="177"/>
      <c r="L72" s="177"/>
      <c r="M72" s="177"/>
      <c r="N72" s="504"/>
      <c r="O72" s="504"/>
      <c r="P72" s="504"/>
      <c r="Q72" s="504"/>
      <c r="R72" s="504"/>
    </row>
    <row r="73" spans="1:18" s="264" customFormat="1">
      <c r="A73" s="576"/>
      <c r="B73" s="574"/>
      <c r="C73" s="53">
        <v>2</v>
      </c>
      <c r="D73" s="184">
        <v>3.3250000000000002</v>
      </c>
      <c r="E73" s="56">
        <v>0.7</v>
      </c>
      <c r="F73" s="56">
        <f t="shared" si="5"/>
        <v>0.15</v>
      </c>
      <c r="G73" s="629">
        <f t="shared" si="4"/>
        <v>0.69825000000000004</v>
      </c>
      <c r="H73" s="503"/>
      <c r="I73" s="504"/>
      <c r="J73" s="659"/>
      <c r="K73" s="177"/>
      <c r="L73" s="177"/>
      <c r="M73" s="177"/>
      <c r="N73" s="504"/>
      <c r="O73" s="504"/>
      <c r="P73" s="504"/>
      <c r="Q73" s="504"/>
      <c r="R73" s="504"/>
    </row>
    <row r="74" spans="1:18" s="264" customFormat="1">
      <c r="A74" s="576"/>
      <c r="B74" s="574"/>
      <c r="C74" s="53">
        <v>2</v>
      </c>
      <c r="D74" s="184">
        <v>3.2850000000000001</v>
      </c>
      <c r="E74" s="56">
        <v>0.7</v>
      </c>
      <c r="F74" s="56">
        <f t="shared" si="5"/>
        <v>0.15</v>
      </c>
      <c r="G74" s="629">
        <f t="shared" si="4"/>
        <v>0.68984999999999996</v>
      </c>
      <c r="H74" s="503"/>
      <c r="I74" s="504"/>
      <c r="J74" s="659"/>
      <c r="K74" s="177"/>
      <c r="L74" s="177"/>
      <c r="M74" s="177"/>
      <c r="N74" s="504"/>
      <c r="O74" s="504"/>
      <c r="P74" s="504"/>
      <c r="Q74" s="504"/>
      <c r="R74" s="504"/>
    </row>
    <row r="75" spans="1:18" s="264" customFormat="1">
      <c r="A75" s="576"/>
      <c r="B75" s="574"/>
      <c r="C75" s="53">
        <v>2</v>
      </c>
      <c r="D75" s="184">
        <v>3.4249999999999998</v>
      </c>
      <c r="E75" s="56">
        <v>0.7</v>
      </c>
      <c r="F75" s="56">
        <f t="shared" si="5"/>
        <v>0.15</v>
      </c>
      <c r="G75" s="629">
        <f t="shared" si="4"/>
        <v>0.71924999999999994</v>
      </c>
      <c r="H75" s="503"/>
      <c r="I75" s="504"/>
      <c r="J75" s="659"/>
      <c r="K75" s="177"/>
      <c r="L75" s="177"/>
      <c r="M75" s="177"/>
      <c r="N75" s="504"/>
      <c r="O75" s="504"/>
      <c r="P75" s="504"/>
      <c r="Q75" s="504"/>
      <c r="R75" s="504"/>
    </row>
    <row r="76" spans="1:18" s="264" customFormat="1">
      <c r="A76" s="576"/>
      <c r="B76" s="574"/>
      <c r="C76" s="53">
        <v>2</v>
      </c>
      <c r="D76" s="184">
        <v>4.78</v>
      </c>
      <c r="E76" s="56">
        <v>0.7</v>
      </c>
      <c r="F76" s="56">
        <f t="shared" si="5"/>
        <v>0.15</v>
      </c>
      <c r="G76" s="629">
        <f t="shared" si="4"/>
        <v>1.0038</v>
      </c>
      <c r="H76" s="503"/>
      <c r="I76" s="504"/>
      <c r="J76" s="659"/>
      <c r="K76" s="177"/>
      <c r="L76" s="177"/>
      <c r="M76" s="177"/>
      <c r="N76" s="504"/>
      <c r="O76" s="504"/>
      <c r="P76" s="504"/>
      <c r="Q76" s="504"/>
      <c r="R76" s="504"/>
    </row>
    <row r="77" spans="1:18" s="264" customFormat="1">
      <c r="A77" s="576"/>
      <c r="B77" s="574"/>
      <c r="C77" s="53">
        <v>4</v>
      </c>
      <c r="D77" s="184">
        <v>2.31</v>
      </c>
      <c r="E77" s="56">
        <v>0.7</v>
      </c>
      <c r="F77" s="56">
        <f t="shared" si="5"/>
        <v>0.15</v>
      </c>
      <c r="G77" s="629">
        <f t="shared" si="4"/>
        <v>0.97019999999999995</v>
      </c>
      <c r="H77" s="503"/>
      <c r="I77" s="504"/>
      <c r="J77" s="659"/>
      <c r="K77" s="177"/>
      <c r="L77" s="177"/>
      <c r="M77" s="177"/>
      <c r="N77" s="504"/>
      <c r="O77" s="504"/>
      <c r="P77" s="504"/>
      <c r="Q77" s="504"/>
      <c r="R77" s="504"/>
    </row>
    <row r="78" spans="1:18" s="264" customFormat="1">
      <c r="A78" s="576"/>
      <c r="B78" s="574"/>
      <c r="C78" s="53">
        <v>4</v>
      </c>
      <c r="D78" s="184">
        <v>2.2850000000000001</v>
      </c>
      <c r="E78" s="56">
        <v>0.7</v>
      </c>
      <c r="F78" s="56">
        <f t="shared" si="5"/>
        <v>0.15</v>
      </c>
      <c r="G78" s="629">
        <f t="shared" si="4"/>
        <v>0.9597</v>
      </c>
      <c r="H78" s="503"/>
      <c r="I78" s="504"/>
      <c r="J78" s="659"/>
      <c r="K78" s="177"/>
      <c r="L78" s="177"/>
      <c r="M78" s="177"/>
      <c r="N78" s="504"/>
      <c r="O78" s="504"/>
      <c r="P78" s="504"/>
      <c r="Q78" s="504"/>
      <c r="R78" s="504"/>
    </row>
    <row r="79" spans="1:18" s="264" customFormat="1">
      <c r="A79" s="576"/>
      <c r="B79" s="574"/>
      <c r="C79" s="53">
        <v>2</v>
      </c>
      <c r="D79" s="184">
        <v>2.1549999999999998</v>
      </c>
      <c r="E79" s="56">
        <v>0.7</v>
      </c>
      <c r="F79" s="56">
        <f t="shared" si="5"/>
        <v>0.15</v>
      </c>
      <c r="G79" s="629">
        <f t="shared" si="4"/>
        <v>0.45254999999999995</v>
      </c>
      <c r="H79" s="503"/>
      <c r="I79" s="504"/>
      <c r="J79" s="659"/>
      <c r="K79" s="177"/>
      <c r="L79" s="177"/>
      <c r="M79" s="177"/>
      <c r="N79" s="504"/>
      <c r="O79" s="504"/>
      <c r="P79" s="504"/>
      <c r="Q79" s="504"/>
      <c r="R79" s="504"/>
    </row>
    <row r="80" spans="1:18" s="264" customFormat="1">
      <c r="A80" s="576"/>
      <c r="B80" s="574"/>
      <c r="C80" s="53">
        <v>2</v>
      </c>
      <c r="D80" s="184">
        <v>3.14</v>
      </c>
      <c r="E80" s="56">
        <v>0.7</v>
      </c>
      <c r="F80" s="56">
        <f t="shared" si="5"/>
        <v>0.15</v>
      </c>
      <c r="G80" s="629">
        <f t="shared" si="4"/>
        <v>0.65939999999999999</v>
      </c>
      <c r="H80" s="503"/>
      <c r="I80" s="504"/>
      <c r="J80" s="659"/>
      <c r="K80" s="177"/>
      <c r="L80" s="177"/>
      <c r="M80" s="177"/>
      <c r="N80" s="504"/>
      <c r="O80" s="504"/>
      <c r="P80" s="504"/>
      <c r="Q80" s="504"/>
      <c r="R80" s="504"/>
    </row>
    <row r="81" spans="1:18" s="264" customFormat="1">
      <c r="A81" s="576"/>
      <c r="B81" s="574"/>
      <c r="C81" s="53">
        <v>1</v>
      </c>
      <c r="D81" s="184">
        <v>8.08</v>
      </c>
      <c r="E81" s="56">
        <v>0.7</v>
      </c>
      <c r="F81" s="56">
        <f t="shared" si="5"/>
        <v>0.15</v>
      </c>
      <c r="G81" s="629">
        <f t="shared" si="4"/>
        <v>0.84839999999999993</v>
      </c>
      <c r="H81" s="503"/>
      <c r="I81" s="504"/>
      <c r="J81" s="659"/>
      <c r="K81" s="177"/>
      <c r="L81" s="177"/>
      <c r="M81" s="177"/>
      <c r="N81" s="504"/>
      <c r="O81" s="504"/>
      <c r="P81" s="504"/>
      <c r="Q81" s="504"/>
      <c r="R81" s="504"/>
    </row>
    <row r="82" spans="1:18" s="264" customFormat="1">
      <c r="A82" s="576"/>
      <c r="B82" s="574"/>
      <c r="C82" s="53">
        <v>2</v>
      </c>
      <c r="D82" s="184">
        <v>3.15</v>
      </c>
      <c r="E82" s="56">
        <v>0.7</v>
      </c>
      <c r="F82" s="56">
        <f t="shared" si="5"/>
        <v>0.15</v>
      </c>
      <c r="G82" s="629">
        <f t="shared" si="4"/>
        <v>0.66149999999999998</v>
      </c>
      <c r="H82" s="503"/>
      <c r="I82" s="504"/>
      <c r="J82" s="659"/>
      <c r="K82" s="177"/>
      <c r="L82" s="177"/>
      <c r="M82" s="177"/>
      <c r="N82" s="504"/>
      <c r="O82" s="504"/>
      <c r="P82" s="504"/>
      <c r="Q82" s="504"/>
      <c r="R82" s="504"/>
    </row>
    <row r="83" spans="1:18" s="264" customFormat="1">
      <c r="A83" s="576"/>
      <c r="B83" s="574"/>
      <c r="C83" s="53">
        <v>8</v>
      </c>
      <c r="D83" s="184">
        <v>3.35</v>
      </c>
      <c r="E83" s="56">
        <v>0.7</v>
      </c>
      <c r="F83" s="56">
        <f t="shared" si="5"/>
        <v>0.15</v>
      </c>
      <c r="G83" s="629">
        <f t="shared" si="4"/>
        <v>2.8140000000000001</v>
      </c>
      <c r="H83" s="503"/>
      <c r="I83" s="504"/>
      <c r="J83" s="659"/>
      <c r="K83" s="177"/>
      <c r="L83" s="177"/>
      <c r="M83" s="177"/>
      <c r="N83" s="504"/>
      <c r="O83" s="504"/>
      <c r="P83" s="504"/>
      <c r="Q83" s="504"/>
      <c r="R83" s="504"/>
    </row>
    <row r="84" spans="1:18" s="264" customFormat="1">
      <c r="A84" s="576"/>
      <c r="B84" s="574"/>
      <c r="C84" s="53">
        <v>2</v>
      </c>
      <c r="D84" s="184">
        <v>3.4</v>
      </c>
      <c r="E84" s="56">
        <v>0.7</v>
      </c>
      <c r="F84" s="56">
        <f t="shared" si="5"/>
        <v>0.15</v>
      </c>
      <c r="G84" s="629">
        <f t="shared" si="4"/>
        <v>0.71399999999999997</v>
      </c>
      <c r="H84" s="503"/>
      <c r="I84" s="504"/>
      <c r="J84" s="659"/>
      <c r="K84" s="177"/>
      <c r="L84" s="177"/>
      <c r="M84" s="177"/>
      <c r="N84" s="504"/>
      <c r="O84" s="504"/>
      <c r="P84" s="504"/>
      <c r="Q84" s="504"/>
      <c r="R84" s="504"/>
    </row>
    <row r="85" spans="1:18" s="264" customFormat="1">
      <c r="A85" s="576"/>
      <c r="B85" s="574"/>
      <c r="C85" s="53">
        <v>2</v>
      </c>
      <c r="D85" s="184">
        <v>1.55</v>
      </c>
      <c r="E85" s="56">
        <v>0.7</v>
      </c>
      <c r="F85" s="56">
        <f t="shared" si="5"/>
        <v>0.15</v>
      </c>
      <c r="G85" s="629">
        <f t="shared" si="4"/>
        <v>0.32550000000000001</v>
      </c>
      <c r="H85" s="503"/>
      <c r="I85" s="504"/>
      <c r="J85" s="659"/>
      <c r="K85" s="177"/>
      <c r="L85" s="177"/>
      <c r="M85" s="177"/>
      <c r="N85" s="504"/>
      <c r="O85" s="504"/>
      <c r="P85" s="504"/>
      <c r="Q85" s="504"/>
      <c r="R85" s="504"/>
    </row>
    <row r="86" spans="1:18" s="264" customFormat="1">
      <c r="A86" s="576"/>
      <c r="B86" s="574"/>
      <c r="C86" s="53">
        <v>2</v>
      </c>
      <c r="D86" s="184">
        <v>3.3250000000000002</v>
      </c>
      <c r="E86" s="56">
        <v>0.7</v>
      </c>
      <c r="F86" s="56">
        <f t="shared" si="5"/>
        <v>0.15</v>
      </c>
      <c r="G86" s="629">
        <f t="shared" si="4"/>
        <v>0.69825000000000004</v>
      </c>
      <c r="H86" s="503"/>
      <c r="I86" s="504"/>
      <c r="J86" s="659"/>
      <c r="K86" s="177"/>
      <c r="L86" s="177"/>
      <c r="M86" s="177"/>
      <c r="N86" s="504"/>
      <c r="O86" s="504"/>
      <c r="P86" s="504"/>
      <c r="Q86" s="504"/>
      <c r="R86" s="504"/>
    </row>
    <row r="87" spans="1:18" s="264" customFormat="1">
      <c r="A87" s="576"/>
      <c r="B87" s="574"/>
      <c r="C87" s="53">
        <v>2</v>
      </c>
      <c r="D87" s="184">
        <v>3.2850000000000001</v>
      </c>
      <c r="E87" s="56">
        <v>0.7</v>
      </c>
      <c r="F87" s="56">
        <f t="shared" si="5"/>
        <v>0.15</v>
      </c>
      <c r="G87" s="629">
        <f t="shared" si="4"/>
        <v>0.68984999999999996</v>
      </c>
      <c r="H87" s="503"/>
      <c r="I87" s="504"/>
      <c r="J87" s="659"/>
      <c r="K87" s="177"/>
      <c r="L87" s="177"/>
      <c r="M87" s="177"/>
      <c r="N87" s="504"/>
      <c r="O87" s="504"/>
      <c r="P87" s="504"/>
      <c r="Q87" s="504"/>
      <c r="R87" s="504"/>
    </row>
    <row r="88" spans="1:18" s="264" customFormat="1">
      <c r="A88" s="576"/>
      <c r="B88" s="574"/>
      <c r="C88" s="53">
        <v>2</v>
      </c>
      <c r="D88" s="184">
        <v>3.4249999999999998</v>
      </c>
      <c r="E88" s="56">
        <v>0.7</v>
      </c>
      <c r="F88" s="56">
        <f t="shared" si="5"/>
        <v>0.15</v>
      </c>
      <c r="G88" s="629">
        <f t="shared" si="4"/>
        <v>0.71924999999999994</v>
      </c>
      <c r="H88" s="503"/>
      <c r="I88" s="504"/>
      <c r="J88" s="659"/>
      <c r="K88" s="177"/>
      <c r="L88" s="177"/>
      <c r="M88" s="177"/>
      <c r="N88" s="504"/>
      <c r="O88" s="504"/>
      <c r="P88" s="504"/>
      <c r="Q88" s="504"/>
      <c r="R88" s="504"/>
    </row>
    <row r="89" spans="1:18" s="264" customFormat="1">
      <c r="A89" s="576"/>
      <c r="B89" s="574"/>
      <c r="C89" s="53">
        <v>2</v>
      </c>
      <c r="D89" s="184">
        <v>0.9</v>
      </c>
      <c r="E89" s="56">
        <v>0.7</v>
      </c>
      <c r="F89" s="56">
        <f t="shared" si="5"/>
        <v>0.15</v>
      </c>
      <c r="G89" s="629">
        <f t="shared" si="4"/>
        <v>0.189</v>
      </c>
      <c r="H89" s="503"/>
      <c r="I89" s="504"/>
      <c r="J89" s="659"/>
      <c r="K89" s="177"/>
      <c r="L89" s="177"/>
      <c r="M89" s="177"/>
      <c r="N89" s="504"/>
      <c r="O89" s="504"/>
      <c r="P89" s="504"/>
      <c r="Q89" s="504"/>
      <c r="R89" s="504"/>
    </row>
    <row r="90" spans="1:18" s="264" customFormat="1">
      <c r="A90" s="576"/>
      <c r="B90" s="445" t="s">
        <v>1291</v>
      </c>
      <c r="C90" s="569">
        <v>8</v>
      </c>
      <c r="D90" s="658">
        <v>1.36</v>
      </c>
      <c r="E90" s="658">
        <v>1.115</v>
      </c>
      <c r="F90" s="56">
        <v>0.5</v>
      </c>
      <c r="G90" s="629">
        <f t="shared" si="4"/>
        <v>6.0656000000000008</v>
      </c>
      <c r="H90" s="503"/>
      <c r="I90" s="504"/>
      <c r="J90" s="659"/>
      <c r="K90" s="177"/>
      <c r="L90" s="177"/>
      <c r="M90" s="177"/>
      <c r="N90" s="504"/>
      <c r="O90" s="504"/>
      <c r="P90" s="504"/>
      <c r="Q90" s="504"/>
      <c r="R90" s="504"/>
    </row>
    <row r="91" spans="1:18" s="264" customFormat="1">
      <c r="A91" s="576"/>
      <c r="C91" s="569">
        <v>8</v>
      </c>
      <c r="D91" s="658">
        <v>1.36</v>
      </c>
      <c r="E91" s="658">
        <v>0.99</v>
      </c>
      <c r="F91" s="56">
        <v>0.5</v>
      </c>
      <c r="G91" s="629">
        <f t="shared" si="4"/>
        <v>5.3856000000000002</v>
      </c>
      <c r="H91" s="503"/>
      <c r="I91" s="504"/>
      <c r="J91" s="659"/>
      <c r="K91" s="177"/>
      <c r="L91" s="177"/>
      <c r="M91" s="177"/>
      <c r="N91" s="504"/>
      <c r="O91" s="504"/>
      <c r="P91" s="504"/>
      <c r="Q91" s="504"/>
      <c r="R91" s="504"/>
    </row>
    <row r="92" spans="1:18" s="264" customFormat="1">
      <c r="A92" s="576"/>
      <c r="C92" s="569">
        <v>4</v>
      </c>
      <c r="D92" s="658">
        <v>1.36</v>
      </c>
      <c r="E92" s="658">
        <v>1.0349999999999999</v>
      </c>
      <c r="F92" s="56">
        <v>0.5</v>
      </c>
      <c r="G92" s="629">
        <f t="shared" ref="G92:G137" si="6">F92*E92*D92*C92</f>
        <v>2.8151999999999999</v>
      </c>
      <c r="H92" s="503"/>
      <c r="I92" s="504"/>
      <c r="J92" s="659"/>
      <c r="K92" s="177"/>
      <c r="L92" s="177"/>
      <c r="M92" s="177"/>
      <c r="N92" s="504"/>
      <c r="O92" s="504"/>
      <c r="P92" s="504"/>
      <c r="Q92" s="504"/>
      <c r="R92" s="504"/>
    </row>
    <row r="93" spans="1:18" s="264" customFormat="1">
      <c r="A93" s="576"/>
      <c r="C93" s="569">
        <v>4</v>
      </c>
      <c r="D93" s="658">
        <v>1.36</v>
      </c>
      <c r="E93" s="658">
        <v>0.94</v>
      </c>
      <c r="F93" s="56">
        <v>0.5</v>
      </c>
      <c r="G93" s="629">
        <f t="shared" si="6"/>
        <v>2.5568</v>
      </c>
      <c r="H93" s="503"/>
      <c r="I93" s="504"/>
      <c r="J93" s="659"/>
      <c r="K93" s="177"/>
      <c r="L93" s="177"/>
      <c r="M93" s="177"/>
      <c r="N93" s="504"/>
      <c r="O93" s="504"/>
      <c r="P93" s="504"/>
      <c r="Q93" s="504"/>
      <c r="R93" s="504"/>
    </row>
    <row r="94" spans="1:18" s="264" customFormat="1">
      <c r="A94" s="576"/>
      <c r="C94" s="569">
        <v>4</v>
      </c>
      <c r="D94" s="658">
        <v>1.45</v>
      </c>
      <c r="E94" s="658">
        <v>3.64</v>
      </c>
      <c r="F94" s="56">
        <v>0.5</v>
      </c>
      <c r="G94" s="629">
        <f t="shared" si="6"/>
        <v>10.555999999999999</v>
      </c>
      <c r="H94" s="503"/>
      <c r="I94" s="504"/>
      <c r="J94" s="659"/>
      <c r="K94" s="177"/>
      <c r="L94" s="177"/>
      <c r="M94" s="177"/>
      <c r="N94" s="504"/>
      <c r="O94" s="504"/>
      <c r="P94" s="504"/>
      <c r="Q94" s="504"/>
      <c r="R94" s="504"/>
    </row>
    <row r="95" spans="1:18" s="264" customFormat="1">
      <c r="A95" s="576"/>
      <c r="C95" s="569">
        <v>4</v>
      </c>
      <c r="D95" s="658">
        <v>1.45</v>
      </c>
      <c r="E95" s="658">
        <v>3.54</v>
      </c>
      <c r="F95" s="56">
        <v>0.5</v>
      </c>
      <c r="G95" s="629">
        <f t="shared" si="6"/>
        <v>10.266</v>
      </c>
      <c r="H95" s="503"/>
      <c r="I95" s="504"/>
      <c r="J95" s="659"/>
      <c r="K95" s="177"/>
      <c r="L95" s="177"/>
      <c r="M95" s="177"/>
      <c r="N95" s="504"/>
      <c r="O95" s="504"/>
      <c r="P95" s="504"/>
      <c r="Q95" s="504"/>
      <c r="R95" s="504"/>
    </row>
    <row r="96" spans="1:18" s="264" customFormat="1">
      <c r="A96" s="576"/>
      <c r="C96" s="569">
        <v>4</v>
      </c>
      <c r="D96" s="658">
        <v>1.4650000000000001</v>
      </c>
      <c r="E96" s="658">
        <v>1.115</v>
      </c>
      <c r="F96" s="56">
        <v>0.5</v>
      </c>
      <c r="G96" s="629">
        <f t="shared" si="6"/>
        <v>3.26695</v>
      </c>
      <c r="H96" s="503"/>
      <c r="I96" s="504"/>
      <c r="J96" s="659"/>
      <c r="K96" s="177"/>
      <c r="L96" s="177"/>
      <c r="M96" s="177"/>
      <c r="N96" s="504"/>
      <c r="O96" s="504"/>
      <c r="P96" s="504"/>
      <c r="Q96" s="504"/>
      <c r="R96" s="504"/>
    </row>
    <row r="97" spans="1:18" s="264" customFormat="1">
      <c r="A97" s="576"/>
      <c r="C97" s="569">
        <v>4</v>
      </c>
      <c r="D97" s="658">
        <v>1.4650000000000001</v>
      </c>
      <c r="E97" s="658">
        <v>0.99</v>
      </c>
      <c r="F97" s="56">
        <v>0.5</v>
      </c>
      <c r="G97" s="629">
        <f t="shared" si="6"/>
        <v>2.9007000000000001</v>
      </c>
      <c r="H97" s="503"/>
      <c r="I97" s="504"/>
      <c r="J97" s="659"/>
      <c r="K97" s="177"/>
      <c r="L97" s="177"/>
      <c r="M97" s="177"/>
      <c r="N97" s="504"/>
      <c r="O97" s="504"/>
      <c r="P97" s="504"/>
      <c r="Q97" s="504"/>
      <c r="R97" s="504"/>
    </row>
    <row r="98" spans="1:18" s="264" customFormat="1">
      <c r="A98" s="576"/>
      <c r="C98" s="569">
        <v>4</v>
      </c>
      <c r="D98" s="658">
        <v>1.4650000000000001</v>
      </c>
      <c r="E98" s="658">
        <v>1.0349999999999999</v>
      </c>
      <c r="F98" s="56">
        <v>0.5</v>
      </c>
      <c r="G98" s="629">
        <f t="shared" si="6"/>
        <v>3.0325500000000001</v>
      </c>
      <c r="H98" s="503"/>
      <c r="I98" s="504"/>
      <c r="J98" s="659"/>
      <c r="K98" s="177"/>
      <c r="L98" s="177"/>
      <c r="M98" s="177"/>
      <c r="N98" s="504"/>
      <c r="O98" s="504"/>
      <c r="P98" s="504"/>
      <c r="Q98" s="504"/>
      <c r="R98" s="504"/>
    </row>
    <row r="99" spans="1:18" s="264" customFormat="1">
      <c r="A99" s="576"/>
      <c r="C99" s="569">
        <v>4</v>
      </c>
      <c r="D99" s="658">
        <v>1.4650000000000001</v>
      </c>
      <c r="E99" s="658">
        <v>3.54</v>
      </c>
      <c r="F99" s="56">
        <v>0.5</v>
      </c>
      <c r="G99" s="629">
        <f t="shared" si="6"/>
        <v>10.372200000000001</v>
      </c>
      <c r="H99" s="503"/>
      <c r="I99" s="504"/>
      <c r="J99" s="659"/>
      <c r="K99" s="177"/>
      <c r="L99" s="177"/>
      <c r="M99" s="177"/>
      <c r="N99" s="504"/>
      <c r="O99" s="504"/>
      <c r="P99" s="504"/>
      <c r="Q99" s="504"/>
      <c r="R99" s="504"/>
    </row>
    <row r="100" spans="1:18" s="264" customFormat="1">
      <c r="A100" s="576"/>
      <c r="C100" s="569">
        <v>2</v>
      </c>
      <c r="D100" s="658">
        <v>3.6949999999999998</v>
      </c>
      <c r="E100" s="658">
        <v>4.835</v>
      </c>
      <c r="F100" s="56">
        <v>0.5</v>
      </c>
      <c r="G100" s="629">
        <f t="shared" si="6"/>
        <v>17.865324999999999</v>
      </c>
      <c r="H100" s="503"/>
      <c r="I100" s="504"/>
      <c r="J100" s="659"/>
      <c r="K100" s="177"/>
      <c r="L100" s="177"/>
      <c r="M100" s="177"/>
      <c r="N100" s="504"/>
      <c r="O100" s="504"/>
      <c r="P100" s="504"/>
      <c r="Q100" s="504"/>
      <c r="R100" s="504"/>
    </row>
    <row r="101" spans="1:18" s="264" customFormat="1">
      <c r="A101" s="576"/>
      <c r="C101" s="569">
        <v>1</v>
      </c>
      <c r="D101" s="658">
        <v>4.08</v>
      </c>
      <c r="E101" s="658">
        <v>5.7450000000000001</v>
      </c>
      <c r="F101" s="56">
        <v>0.5</v>
      </c>
      <c r="G101" s="629">
        <f t="shared" si="6"/>
        <v>11.719800000000001</v>
      </c>
      <c r="H101" s="503"/>
      <c r="I101" s="504"/>
      <c r="J101" s="659"/>
      <c r="K101" s="177"/>
      <c r="L101" s="177"/>
      <c r="M101" s="177"/>
      <c r="N101" s="504"/>
      <c r="O101" s="504"/>
      <c r="P101" s="504"/>
      <c r="Q101" s="504"/>
      <c r="R101" s="504"/>
    </row>
    <row r="102" spans="1:18" s="264" customFormat="1">
      <c r="A102" s="576"/>
      <c r="C102" s="569">
        <v>1</v>
      </c>
      <c r="D102" s="658">
        <v>2.52</v>
      </c>
      <c r="E102" s="658">
        <v>2.76</v>
      </c>
      <c r="F102" s="56">
        <v>0.5</v>
      </c>
      <c r="G102" s="629">
        <f t="shared" si="6"/>
        <v>3.4775999999999998</v>
      </c>
      <c r="H102" s="503"/>
      <c r="I102" s="504"/>
      <c r="J102" s="659"/>
      <c r="K102" s="177"/>
      <c r="L102" s="177"/>
      <c r="M102" s="177"/>
      <c r="N102" s="504"/>
      <c r="O102" s="504"/>
      <c r="P102" s="504"/>
      <c r="Q102" s="504"/>
      <c r="R102" s="504"/>
    </row>
    <row r="103" spans="1:18" s="264" customFormat="1">
      <c r="A103" s="576"/>
      <c r="C103" s="569">
        <v>1</v>
      </c>
      <c r="D103" s="658">
        <v>2.52</v>
      </c>
      <c r="E103" s="658">
        <v>2.73</v>
      </c>
      <c r="F103" s="56">
        <v>0.5</v>
      </c>
      <c r="G103" s="629">
        <f t="shared" si="6"/>
        <v>3.4398</v>
      </c>
      <c r="H103" s="503"/>
      <c r="I103" s="504"/>
      <c r="J103" s="659"/>
      <c r="K103" s="177"/>
      <c r="L103" s="177"/>
      <c r="M103" s="177"/>
      <c r="N103" s="504"/>
      <c r="O103" s="504"/>
      <c r="P103" s="504"/>
      <c r="Q103" s="504"/>
      <c r="R103" s="504"/>
    </row>
    <row r="104" spans="1:18" s="264" customFormat="1">
      <c r="A104" s="576"/>
      <c r="C104" s="569">
        <v>1</v>
      </c>
      <c r="D104" s="658">
        <v>3.3650000000000002</v>
      </c>
      <c r="E104" s="658">
        <v>5.7450000000000001</v>
      </c>
      <c r="F104" s="56">
        <v>0.5</v>
      </c>
      <c r="G104" s="629">
        <f t="shared" si="6"/>
        <v>9.6659625000000009</v>
      </c>
      <c r="H104" s="503"/>
      <c r="I104" s="504"/>
      <c r="J104" s="659"/>
      <c r="K104" s="177"/>
      <c r="L104" s="177"/>
      <c r="M104" s="177"/>
      <c r="N104" s="504"/>
      <c r="O104" s="504"/>
      <c r="P104" s="504"/>
      <c r="Q104" s="504"/>
      <c r="R104" s="504"/>
    </row>
    <row r="105" spans="1:18" s="264" customFormat="1">
      <c r="A105" s="576"/>
      <c r="C105" s="569">
        <v>1</v>
      </c>
      <c r="D105" s="658">
        <v>1.72</v>
      </c>
      <c r="E105" s="658">
        <v>1.645</v>
      </c>
      <c r="F105" s="56">
        <v>0.5</v>
      </c>
      <c r="G105" s="629">
        <f t="shared" si="6"/>
        <v>1.4147000000000001</v>
      </c>
      <c r="H105" s="503"/>
      <c r="I105" s="504"/>
      <c r="J105" s="659"/>
      <c r="K105" s="177"/>
      <c r="L105" s="177"/>
      <c r="M105" s="177"/>
      <c r="N105" s="504"/>
      <c r="O105" s="504"/>
      <c r="P105" s="504"/>
      <c r="Q105" s="504"/>
      <c r="R105" s="504"/>
    </row>
    <row r="106" spans="1:18" s="264" customFormat="1">
      <c r="A106" s="576"/>
      <c r="C106" s="569">
        <v>1</v>
      </c>
      <c r="D106" s="658">
        <v>1.72</v>
      </c>
      <c r="E106" s="658">
        <v>2.125</v>
      </c>
      <c r="F106" s="56">
        <v>0.5</v>
      </c>
      <c r="G106" s="629">
        <f t="shared" si="6"/>
        <v>1.8274999999999999</v>
      </c>
      <c r="H106" s="503"/>
      <c r="I106" s="504"/>
      <c r="J106" s="659"/>
      <c r="K106" s="177"/>
      <c r="L106" s="177"/>
      <c r="M106" s="177"/>
      <c r="N106" s="504"/>
      <c r="O106" s="504"/>
      <c r="P106" s="504"/>
      <c r="Q106" s="504"/>
      <c r="R106" s="504"/>
    </row>
    <row r="107" spans="1:18" s="264" customFormat="1">
      <c r="A107" s="576"/>
      <c r="C107" s="569">
        <v>1</v>
      </c>
      <c r="D107" s="658">
        <v>1.72</v>
      </c>
      <c r="E107" s="658">
        <v>1.47</v>
      </c>
      <c r="F107" s="56">
        <v>0.5</v>
      </c>
      <c r="G107" s="629">
        <f t="shared" si="6"/>
        <v>1.2642</v>
      </c>
      <c r="H107" s="503"/>
      <c r="I107" s="504"/>
      <c r="J107" s="659"/>
      <c r="K107" s="177"/>
      <c r="L107" s="177"/>
      <c r="M107" s="177"/>
      <c r="N107" s="504"/>
      <c r="O107" s="504"/>
      <c r="P107" s="504"/>
      <c r="Q107" s="504"/>
      <c r="R107" s="504"/>
    </row>
    <row r="108" spans="1:18" s="264" customFormat="1">
      <c r="A108" s="576"/>
      <c r="C108" s="569">
        <v>1</v>
      </c>
      <c r="D108" s="658">
        <v>1.165</v>
      </c>
      <c r="E108" s="658">
        <v>5.7450000000000001</v>
      </c>
      <c r="F108" s="56">
        <v>0.5</v>
      </c>
      <c r="G108" s="629">
        <f t="shared" si="6"/>
        <v>3.3464625000000003</v>
      </c>
      <c r="H108" s="503"/>
      <c r="I108" s="504"/>
      <c r="J108" s="659"/>
      <c r="K108" s="177"/>
      <c r="L108" s="177"/>
      <c r="M108" s="177"/>
      <c r="N108" s="504"/>
      <c r="O108" s="504"/>
      <c r="P108" s="504"/>
      <c r="Q108" s="504"/>
      <c r="R108" s="504"/>
    </row>
    <row r="109" spans="1:18" s="264" customFormat="1">
      <c r="A109" s="576"/>
      <c r="C109" s="569">
        <v>1</v>
      </c>
      <c r="D109" s="658">
        <v>2.665</v>
      </c>
      <c r="E109" s="658">
        <v>5.7450000000000001</v>
      </c>
      <c r="F109" s="56">
        <v>0.5</v>
      </c>
      <c r="G109" s="629">
        <f t="shared" si="6"/>
        <v>7.6552125000000002</v>
      </c>
      <c r="H109" s="503"/>
      <c r="I109" s="504"/>
      <c r="J109" s="659"/>
      <c r="K109" s="177"/>
      <c r="L109" s="177"/>
      <c r="M109" s="177"/>
      <c r="N109" s="504"/>
      <c r="O109" s="504"/>
      <c r="P109" s="504"/>
      <c r="Q109" s="504"/>
      <c r="R109" s="504"/>
    </row>
    <row r="110" spans="1:18" s="264" customFormat="1">
      <c r="A110" s="576"/>
      <c r="C110" s="569">
        <v>3</v>
      </c>
      <c r="D110" s="658">
        <v>3.03</v>
      </c>
      <c r="E110" s="658">
        <v>5.7450000000000001</v>
      </c>
      <c r="F110" s="56">
        <v>0.5</v>
      </c>
      <c r="G110" s="629">
        <f t="shared" si="6"/>
        <v>26.111024999999998</v>
      </c>
      <c r="H110" s="503"/>
      <c r="I110" s="504"/>
      <c r="J110" s="659"/>
      <c r="K110" s="177"/>
      <c r="L110" s="177"/>
      <c r="M110" s="177"/>
      <c r="N110" s="504"/>
      <c r="O110" s="504"/>
      <c r="P110" s="504"/>
      <c r="Q110" s="504"/>
      <c r="R110" s="504"/>
    </row>
    <row r="111" spans="1:18" s="264" customFormat="1">
      <c r="A111" s="576"/>
      <c r="C111" s="569">
        <v>2</v>
      </c>
      <c r="D111" s="658">
        <v>7.68</v>
      </c>
      <c r="E111" s="658">
        <v>4.2</v>
      </c>
      <c r="F111" s="56">
        <v>0.5</v>
      </c>
      <c r="G111" s="629">
        <f t="shared" si="6"/>
        <v>32.256</v>
      </c>
      <c r="H111" s="503"/>
      <c r="I111" s="504"/>
      <c r="J111" s="659"/>
      <c r="K111" s="177"/>
      <c r="L111" s="177"/>
      <c r="M111" s="177"/>
      <c r="N111" s="504"/>
      <c r="O111" s="504"/>
      <c r="P111" s="504"/>
      <c r="Q111" s="504"/>
      <c r="R111" s="504"/>
    </row>
    <row r="112" spans="1:18" s="264" customFormat="1">
      <c r="A112" s="576"/>
      <c r="C112" s="569">
        <v>1</v>
      </c>
      <c r="D112" s="658">
        <v>4.2649999999999997</v>
      </c>
      <c r="E112" s="658">
        <v>2.4</v>
      </c>
      <c r="F112" s="56">
        <v>0.5</v>
      </c>
      <c r="G112" s="629">
        <f t="shared" si="6"/>
        <v>5.1179999999999994</v>
      </c>
      <c r="H112" s="503"/>
      <c r="I112" s="504"/>
      <c r="J112" s="659"/>
      <c r="K112" s="177"/>
      <c r="L112" s="177"/>
      <c r="M112" s="177"/>
      <c r="N112" s="504"/>
      <c r="O112" s="504"/>
      <c r="P112" s="504"/>
      <c r="Q112" s="504"/>
      <c r="R112" s="504"/>
    </row>
    <row r="113" spans="1:18" s="264" customFormat="1">
      <c r="A113" s="576"/>
      <c r="C113" s="569">
        <v>1</v>
      </c>
      <c r="D113" s="658">
        <v>3.3650000000000002</v>
      </c>
      <c r="E113" s="658">
        <v>2.4</v>
      </c>
      <c r="F113" s="56">
        <v>0.5</v>
      </c>
      <c r="G113" s="629">
        <f t="shared" si="6"/>
        <v>4.0380000000000003</v>
      </c>
      <c r="H113" s="503"/>
      <c r="I113" s="504"/>
      <c r="J113" s="659"/>
      <c r="K113" s="177"/>
      <c r="L113" s="177"/>
      <c r="M113" s="177"/>
      <c r="N113" s="504"/>
      <c r="O113" s="504"/>
      <c r="P113" s="504"/>
      <c r="Q113" s="504"/>
      <c r="R113" s="504"/>
    </row>
    <row r="114" spans="1:18" s="264" customFormat="1">
      <c r="A114" s="576"/>
      <c r="C114" s="569">
        <v>1</v>
      </c>
      <c r="D114" s="658">
        <v>3.13</v>
      </c>
      <c r="E114" s="658">
        <v>2.4</v>
      </c>
      <c r="F114" s="56">
        <v>0.5</v>
      </c>
      <c r="G114" s="629">
        <f t="shared" si="6"/>
        <v>3.7559999999999998</v>
      </c>
      <c r="H114" s="503"/>
      <c r="I114" s="504"/>
      <c r="J114" s="659"/>
      <c r="K114" s="177"/>
      <c r="L114" s="177"/>
      <c r="M114" s="177"/>
      <c r="N114" s="504"/>
      <c r="O114" s="504"/>
      <c r="P114" s="504"/>
      <c r="Q114" s="504"/>
      <c r="R114" s="504"/>
    </row>
    <row r="115" spans="1:18" s="264" customFormat="1">
      <c r="A115" s="576"/>
      <c r="C115" s="569">
        <v>1</v>
      </c>
      <c r="D115" s="658">
        <v>2.6549999999999998</v>
      </c>
      <c r="E115" s="658">
        <v>2.4</v>
      </c>
      <c r="F115" s="56">
        <v>0.5</v>
      </c>
      <c r="G115" s="629">
        <f t="shared" si="6"/>
        <v>3.1859999999999995</v>
      </c>
      <c r="H115" s="503"/>
      <c r="I115" s="504"/>
      <c r="J115" s="659"/>
      <c r="K115" s="177"/>
      <c r="L115" s="177"/>
      <c r="M115" s="177"/>
      <c r="N115" s="504"/>
      <c r="O115" s="504"/>
      <c r="P115" s="504"/>
      <c r="Q115" s="504"/>
      <c r="R115" s="504"/>
    </row>
    <row r="116" spans="1:18" s="264" customFormat="1">
      <c r="A116" s="576"/>
      <c r="C116" s="569">
        <v>1</v>
      </c>
      <c r="D116" s="658">
        <v>3.03</v>
      </c>
      <c r="E116" s="658">
        <v>2.4</v>
      </c>
      <c r="F116" s="56">
        <v>0.5</v>
      </c>
      <c r="G116" s="629">
        <f t="shared" si="6"/>
        <v>3.6359999999999997</v>
      </c>
      <c r="H116" s="503"/>
      <c r="I116" s="504"/>
      <c r="J116" s="659"/>
      <c r="K116" s="177"/>
      <c r="L116" s="177"/>
      <c r="M116" s="177"/>
      <c r="N116" s="504"/>
      <c r="O116" s="504"/>
      <c r="P116" s="504"/>
      <c r="Q116" s="504"/>
      <c r="R116" s="504"/>
    </row>
    <row r="117" spans="1:18" s="264" customFormat="1">
      <c r="A117" s="576"/>
      <c r="C117" s="569">
        <v>1</v>
      </c>
      <c r="D117" s="658">
        <v>3.73</v>
      </c>
      <c r="E117" s="658">
        <v>2.4</v>
      </c>
      <c r="F117" s="56">
        <v>0.5</v>
      </c>
      <c r="G117" s="629">
        <f t="shared" si="6"/>
        <v>4.476</v>
      </c>
      <c r="H117" s="503"/>
      <c r="I117" s="504"/>
      <c r="J117" s="659"/>
      <c r="K117" s="177"/>
      <c r="L117" s="177"/>
      <c r="M117" s="177"/>
      <c r="N117" s="504"/>
      <c r="O117" s="504"/>
      <c r="P117" s="504"/>
      <c r="Q117" s="504"/>
      <c r="R117" s="504"/>
    </row>
    <row r="118" spans="1:18" s="264" customFormat="1">
      <c r="A118" s="576"/>
      <c r="C118" s="569">
        <v>4</v>
      </c>
      <c r="D118" s="658">
        <v>4.78</v>
      </c>
      <c r="E118" s="658">
        <v>3.52</v>
      </c>
      <c r="F118" s="56">
        <v>0.5</v>
      </c>
      <c r="G118" s="629">
        <f t="shared" si="6"/>
        <v>33.651200000000003</v>
      </c>
      <c r="H118" s="503"/>
      <c r="I118" s="504"/>
      <c r="J118" s="659"/>
      <c r="K118" s="177"/>
      <c r="L118" s="177"/>
      <c r="M118" s="177"/>
      <c r="N118" s="504"/>
      <c r="O118" s="504"/>
      <c r="P118" s="504"/>
      <c r="Q118" s="504"/>
      <c r="R118" s="504"/>
    </row>
    <row r="119" spans="1:18" s="264" customFormat="1">
      <c r="A119" s="576"/>
      <c r="C119" s="569">
        <v>2</v>
      </c>
      <c r="D119" s="658">
        <v>4.78</v>
      </c>
      <c r="E119" s="658">
        <v>3.395</v>
      </c>
      <c r="F119" s="56">
        <v>0.5</v>
      </c>
      <c r="G119" s="629">
        <f t="shared" si="6"/>
        <v>16.228100000000001</v>
      </c>
      <c r="H119" s="503"/>
      <c r="I119" s="504"/>
      <c r="J119" s="659"/>
      <c r="K119" s="177"/>
      <c r="L119" s="177"/>
      <c r="M119" s="177"/>
      <c r="N119" s="504"/>
      <c r="O119" s="504"/>
      <c r="P119" s="504"/>
      <c r="Q119" s="504"/>
      <c r="R119" s="504"/>
    </row>
    <row r="120" spans="1:18" s="264" customFormat="1">
      <c r="A120" s="576"/>
      <c r="C120" s="569">
        <v>4</v>
      </c>
      <c r="D120" s="658">
        <v>2.4</v>
      </c>
      <c r="E120" s="658">
        <v>3.52</v>
      </c>
      <c r="F120" s="56">
        <v>0.5</v>
      </c>
      <c r="G120" s="629">
        <f t="shared" si="6"/>
        <v>16.896000000000001</v>
      </c>
      <c r="H120" s="503"/>
      <c r="I120" s="504"/>
      <c r="J120" s="659"/>
      <c r="K120" s="177"/>
      <c r="L120" s="177"/>
      <c r="M120" s="177"/>
      <c r="N120" s="504"/>
      <c r="O120" s="504"/>
      <c r="P120" s="504"/>
      <c r="Q120" s="504"/>
      <c r="R120" s="504"/>
    </row>
    <row r="121" spans="1:18" s="264" customFormat="1">
      <c r="A121" s="576"/>
      <c r="C121" s="569">
        <v>2</v>
      </c>
      <c r="D121" s="658">
        <v>2.4</v>
      </c>
      <c r="E121" s="658">
        <v>3.395</v>
      </c>
      <c r="F121" s="56">
        <v>0.5</v>
      </c>
      <c r="G121" s="629">
        <f t="shared" si="6"/>
        <v>8.1479999999999997</v>
      </c>
      <c r="H121" s="503"/>
      <c r="I121" s="504"/>
      <c r="J121" s="659"/>
      <c r="K121" s="177"/>
      <c r="L121" s="177"/>
      <c r="M121" s="177"/>
      <c r="N121" s="504"/>
      <c r="O121" s="504"/>
      <c r="P121" s="504"/>
      <c r="Q121" s="504"/>
      <c r="R121" s="504"/>
    </row>
    <row r="122" spans="1:18" s="264" customFormat="1">
      <c r="A122" s="576"/>
      <c r="C122" s="569">
        <v>4</v>
      </c>
      <c r="D122" s="658">
        <v>5.03</v>
      </c>
      <c r="E122" s="658">
        <v>3.52</v>
      </c>
      <c r="F122" s="56">
        <v>0.5</v>
      </c>
      <c r="G122" s="629">
        <f t="shared" si="6"/>
        <v>35.411200000000001</v>
      </c>
      <c r="H122" s="503"/>
      <c r="I122" s="504"/>
      <c r="J122" s="659"/>
      <c r="K122" s="177"/>
      <c r="L122" s="177"/>
      <c r="M122" s="177"/>
      <c r="N122" s="504"/>
      <c r="O122" s="504"/>
      <c r="P122" s="504"/>
      <c r="Q122" s="504"/>
      <c r="R122" s="504"/>
    </row>
    <row r="123" spans="1:18" s="264" customFormat="1">
      <c r="A123" s="576"/>
      <c r="C123" s="569">
        <v>2</v>
      </c>
      <c r="D123" s="658">
        <v>5.03</v>
      </c>
      <c r="E123" s="658">
        <v>3.395</v>
      </c>
      <c r="F123" s="56">
        <v>0.5</v>
      </c>
      <c r="G123" s="629">
        <f t="shared" si="6"/>
        <v>17.07685</v>
      </c>
      <c r="H123" s="503"/>
      <c r="I123" s="504"/>
      <c r="J123" s="659"/>
      <c r="K123" s="177"/>
      <c r="L123" s="177"/>
      <c r="M123" s="177"/>
      <c r="N123" s="504"/>
      <c r="O123" s="504"/>
      <c r="P123" s="504"/>
      <c r="Q123" s="504"/>
      <c r="R123" s="504"/>
    </row>
    <row r="124" spans="1:18" s="264" customFormat="1">
      <c r="A124" s="576"/>
      <c r="C124" s="569">
        <v>2</v>
      </c>
      <c r="D124" s="658">
        <v>7.68</v>
      </c>
      <c r="E124" s="658">
        <v>3.55</v>
      </c>
      <c r="F124" s="56">
        <v>0.5</v>
      </c>
      <c r="G124" s="629">
        <f t="shared" si="6"/>
        <v>27.263999999999999</v>
      </c>
      <c r="H124" s="503"/>
      <c r="I124" s="504"/>
      <c r="J124" s="659"/>
      <c r="K124" s="177"/>
      <c r="L124" s="177"/>
      <c r="M124" s="177"/>
      <c r="N124" s="504"/>
      <c r="O124" s="504"/>
      <c r="P124" s="504"/>
      <c r="Q124" s="504"/>
      <c r="R124" s="504"/>
    </row>
    <row r="125" spans="1:18" s="264" customFormat="1">
      <c r="A125" s="576"/>
      <c r="C125" s="569">
        <v>2</v>
      </c>
      <c r="D125" s="658">
        <v>4.4050000000000002</v>
      </c>
      <c r="E125" s="658">
        <v>2.4</v>
      </c>
      <c r="F125" s="56">
        <v>0.5</v>
      </c>
      <c r="G125" s="629">
        <f t="shared" si="6"/>
        <v>10.572000000000001</v>
      </c>
      <c r="H125" s="503"/>
      <c r="I125" s="504"/>
      <c r="J125" s="659"/>
      <c r="K125" s="177"/>
      <c r="L125" s="177"/>
      <c r="M125" s="177"/>
      <c r="N125" s="504"/>
      <c r="O125" s="504"/>
      <c r="P125" s="504"/>
      <c r="Q125" s="504"/>
      <c r="R125" s="504"/>
    </row>
    <row r="126" spans="1:18" s="264" customFormat="1">
      <c r="A126" s="576"/>
      <c r="C126" s="569">
        <v>1</v>
      </c>
      <c r="D126" s="658">
        <v>3.42</v>
      </c>
      <c r="E126" s="658">
        <v>2.4</v>
      </c>
      <c r="F126" s="56">
        <v>0.5</v>
      </c>
      <c r="G126" s="629">
        <f t="shared" si="6"/>
        <v>4.1040000000000001</v>
      </c>
      <c r="H126" s="503"/>
      <c r="I126" s="504"/>
      <c r="J126" s="659"/>
      <c r="K126" s="177"/>
      <c r="L126" s="177"/>
      <c r="M126" s="177"/>
      <c r="N126" s="504"/>
      <c r="O126" s="504"/>
      <c r="P126" s="504"/>
      <c r="Q126" s="504"/>
      <c r="R126" s="504"/>
    </row>
    <row r="127" spans="1:18" s="264" customFormat="1">
      <c r="A127" s="576"/>
      <c r="C127" s="569">
        <v>1</v>
      </c>
      <c r="D127" s="658">
        <v>4.5</v>
      </c>
      <c r="E127" s="658">
        <v>2.4</v>
      </c>
      <c r="F127" s="56">
        <v>0.5</v>
      </c>
      <c r="G127" s="629">
        <f t="shared" si="6"/>
        <v>5.3999999999999995</v>
      </c>
      <c r="H127" s="503"/>
      <c r="I127" s="504"/>
      <c r="J127" s="659"/>
      <c r="K127" s="177"/>
      <c r="L127" s="177"/>
      <c r="M127" s="177"/>
      <c r="N127" s="504"/>
      <c r="O127" s="504"/>
      <c r="P127" s="504"/>
      <c r="Q127" s="504"/>
      <c r="R127" s="504"/>
    </row>
    <row r="128" spans="1:18" s="264" customFormat="1">
      <c r="A128" s="576"/>
      <c r="C128" s="569">
        <v>1</v>
      </c>
      <c r="D128" s="658">
        <v>3.6949999999999998</v>
      </c>
      <c r="E128" s="658">
        <v>2.4</v>
      </c>
      <c r="F128" s="56">
        <v>0.5</v>
      </c>
      <c r="G128" s="629">
        <f t="shared" si="6"/>
        <v>4.4339999999999993</v>
      </c>
      <c r="H128" s="503"/>
      <c r="I128" s="504"/>
      <c r="J128" s="659"/>
      <c r="K128" s="177"/>
      <c r="L128" s="177"/>
      <c r="M128" s="177"/>
      <c r="N128" s="504"/>
      <c r="O128" s="504"/>
      <c r="P128" s="504"/>
      <c r="Q128" s="504"/>
      <c r="R128" s="504"/>
    </row>
    <row r="129" spans="1:18" s="264" customFormat="1">
      <c r="A129" s="576"/>
      <c r="C129" s="569">
        <v>4</v>
      </c>
      <c r="D129" s="658">
        <v>3.52</v>
      </c>
      <c r="E129" s="658">
        <v>4.78</v>
      </c>
      <c r="F129" s="56">
        <v>0.5</v>
      </c>
      <c r="G129" s="629">
        <f t="shared" si="6"/>
        <v>33.651200000000003</v>
      </c>
      <c r="H129" s="503"/>
      <c r="I129" s="504"/>
      <c r="J129" s="659"/>
      <c r="K129" s="177"/>
      <c r="L129" s="177"/>
      <c r="M129" s="177"/>
      <c r="N129" s="504"/>
      <c r="O129" s="504"/>
      <c r="P129" s="504"/>
      <c r="Q129" s="504"/>
      <c r="R129" s="504"/>
    </row>
    <row r="130" spans="1:18" s="264" customFormat="1">
      <c r="A130" s="576"/>
      <c r="C130" s="569">
        <v>2</v>
      </c>
      <c r="D130" s="658">
        <v>3.395</v>
      </c>
      <c r="E130" s="658">
        <v>4.78</v>
      </c>
      <c r="F130" s="56">
        <v>0.5</v>
      </c>
      <c r="G130" s="629">
        <f t="shared" si="6"/>
        <v>16.228100000000001</v>
      </c>
      <c r="H130" s="503"/>
      <c r="I130" s="504"/>
      <c r="J130" s="659"/>
      <c r="K130" s="177"/>
      <c r="L130" s="177"/>
      <c r="M130" s="177"/>
      <c r="N130" s="504"/>
      <c r="O130" s="504"/>
      <c r="P130" s="504"/>
      <c r="Q130" s="504"/>
      <c r="R130" s="504"/>
    </row>
    <row r="131" spans="1:18" s="264" customFormat="1">
      <c r="A131" s="576"/>
      <c r="C131" s="569">
        <v>1</v>
      </c>
      <c r="D131" s="658">
        <v>3.42</v>
      </c>
      <c r="E131" s="658">
        <v>2.4900000000000002</v>
      </c>
      <c r="F131" s="56">
        <v>0.5</v>
      </c>
      <c r="G131" s="629">
        <f t="shared" si="6"/>
        <v>4.2579000000000002</v>
      </c>
      <c r="H131" s="503"/>
      <c r="I131" s="504"/>
      <c r="J131" s="659"/>
      <c r="K131" s="177"/>
      <c r="L131" s="177"/>
      <c r="M131" s="177"/>
      <c r="N131" s="504"/>
      <c r="O131" s="504"/>
      <c r="P131" s="504"/>
      <c r="Q131" s="504"/>
      <c r="R131" s="504"/>
    </row>
    <row r="132" spans="1:18" s="264" customFormat="1">
      <c r="A132" s="576"/>
      <c r="C132" s="569">
        <v>1</v>
      </c>
      <c r="D132" s="658">
        <v>1.2849999999999999</v>
      </c>
      <c r="E132" s="658">
        <v>2.04</v>
      </c>
      <c r="F132" s="56">
        <v>0.5</v>
      </c>
      <c r="G132" s="629">
        <f t="shared" si="6"/>
        <v>1.3107</v>
      </c>
      <c r="H132" s="503"/>
      <c r="I132" s="504"/>
      <c r="J132" s="659"/>
      <c r="K132" s="177"/>
      <c r="L132" s="177"/>
      <c r="M132" s="177"/>
      <c r="N132" s="504"/>
      <c r="O132" s="504"/>
      <c r="P132" s="504"/>
      <c r="Q132" s="504"/>
      <c r="R132" s="504"/>
    </row>
    <row r="133" spans="1:18" s="264" customFormat="1">
      <c r="A133" s="576"/>
      <c r="C133" s="569">
        <v>1</v>
      </c>
      <c r="D133" s="658">
        <v>1.88</v>
      </c>
      <c r="E133" s="658">
        <v>2.04</v>
      </c>
      <c r="F133" s="56">
        <v>0.5</v>
      </c>
      <c r="G133" s="629">
        <f t="shared" si="6"/>
        <v>1.9176</v>
      </c>
      <c r="H133" s="503"/>
      <c r="I133" s="504"/>
      <c r="J133" s="659"/>
      <c r="K133" s="177"/>
      <c r="L133" s="177"/>
      <c r="M133" s="177"/>
      <c r="N133" s="504"/>
      <c r="O133" s="504"/>
      <c r="P133" s="504"/>
      <c r="Q133" s="504"/>
      <c r="R133" s="504"/>
    </row>
    <row r="134" spans="1:18" s="264" customFormat="1">
      <c r="A134" s="576"/>
      <c r="C134" s="569">
        <v>1</v>
      </c>
      <c r="D134" s="658">
        <v>4.5</v>
      </c>
      <c r="E134" s="658">
        <v>2.72</v>
      </c>
      <c r="F134" s="56">
        <v>0.5</v>
      </c>
      <c r="G134" s="629">
        <f t="shared" si="6"/>
        <v>6.12</v>
      </c>
      <c r="H134" s="503"/>
      <c r="I134" s="504"/>
      <c r="J134" s="659"/>
      <c r="K134" s="177"/>
      <c r="L134" s="177"/>
      <c r="M134" s="177"/>
      <c r="N134" s="504"/>
      <c r="O134" s="504"/>
      <c r="P134" s="504"/>
      <c r="Q134" s="504"/>
      <c r="R134" s="504"/>
    </row>
    <row r="135" spans="1:18" s="264" customFormat="1">
      <c r="A135" s="576"/>
      <c r="C135" s="569">
        <v>1</v>
      </c>
      <c r="D135" s="658">
        <v>4.5</v>
      </c>
      <c r="E135" s="658">
        <v>1.81</v>
      </c>
      <c r="F135" s="56">
        <v>0.5</v>
      </c>
      <c r="G135" s="629">
        <f t="shared" si="6"/>
        <v>4.0724999999999998</v>
      </c>
      <c r="H135" s="503"/>
      <c r="I135" s="504"/>
      <c r="J135" s="659"/>
      <c r="K135" s="177"/>
      <c r="L135" s="177"/>
      <c r="M135" s="177"/>
      <c r="N135" s="504"/>
      <c r="O135" s="504"/>
      <c r="P135" s="504"/>
      <c r="Q135" s="504"/>
      <c r="R135" s="504"/>
    </row>
    <row r="136" spans="1:18" s="264" customFormat="1">
      <c r="A136" s="576"/>
      <c r="C136" s="569">
        <v>1</v>
      </c>
      <c r="D136" s="658">
        <v>3.6949999999999998</v>
      </c>
      <c r="E136" s="658">
        <v>4.78</v>
      </c>
      <c r="F136" s="56">
        <v>0.5</v>
      </c>
      <c r="G136" s="629">
        <f t="shared" si="6"/>
        <v>8.8310499999999994</v>
      </c>
      <c r="H136" s="503"/>
      <c r="I136" s="504"/>
      <c r="J136" s="659"/>
      <c r="K136" s="177"/>
      <c r="L136" s="177"/>
      <c r="M136" s="177"/>
      <c r="N136" s="504"/>
      <c r="O136" s="504"/>
      <c r="P136" s="504"/>
      <c r="Q136" s="504"/>
      <c r="R136" s="504"/>
    </row>
    <row r="137" spans="1:18" s="264" customFormat="1">
      <c r="A137" s="576"/>
      <c r="C137" s="569">
        <v>1</v>
      </c>
      <c r="D137" s="658">
        <v>7.58</v>
      </c>
      <c r="E137" s="658">
        <v>3.14</v>
      </c>
      <c r="F137" s="56">
        <v>0.5</v>
      </c>
      <c r="G137" s="657">
        <f t="shared" si="6"/>
        <v>11.900600000000001</v>
      </c>
      <c r="H137" s="503"/>
      <c r="I137" s="504"/>
      <c r="J137" s="659"/>
      <c r="K137" s="177"/>
      <c r="L137" s="177"/>
      <c r="M137" s="177"/>
      <c r="N137" s="504"/>
      <c r="O137" s="504"/>
      <c r="P137" s="504"/>
      <c r="Q137" s="504"/>
      <c r="R137" s="504"/>
    </row>
    <row r="138" spans="1:18" s="264" customFormat="1">
      <c r="A138" s="576"/>
      <c r="C138" s="569"/>
      <c r="D138" s="658"/>
      <c r="E138" s="658"/>
      <c r="F138" s="56"/>
      <c r="G138" s="629">
        <f>SUM(G50:G137)</f>
        <v>558.26027177464005</v>
      </c>
      <c r="H138" s="503"/>
      <c r="I138" s="504"/>
      <c r="J138" s="659"/>
      <c r="K138" s="177"/>
      <c r="L138" s="177"/>
      <c r="M138" s="177"/>
      <c r="N138" s="504"/>
      <c r="O138" s="504"/>
      <c r="P138" s="504"/>
      <c r="Q138" s="504"/>
      <c r="R138" s="504"/>
    </row>
    <row r="139" spans="1:18" s="264" customFormat="1">
      <c r="A139" s="576"/>
      <c r="C139" s="569"/>
      <c r="D139" s="658"/>
      <c r="E139" s="658"/>
      <c r="F139" s="56"/>
      <c r="G139" s="656">
        <f>G138*10%</f>
        <v>55.826027177464006</v>
      </c>
      <c r="H139" s="503"/>
      <c r="I139" s="504"/>
      <c r="J139" s="659"/>
      <c r="K139" s="177"/>
      <c r="L139" s="177"/>
      <c r="M139" s="177"/>
      <c r="N139" s="504"/>
      <c r="O139" s="504"/>
      <c r="P139" s="504"/>
      <c r="Q139" s="504"/>
      <c r="R139" s="504"/>
    </row>
    <row r="140" spans="1:18" s="149" customFormat="1" ht="15">
      <c r="A140" s="135"/>
      <c r="B140" s="568"/>
      <c r="C140" s="121"/>
      <c r="D140" s="121"/>
      <c r="E140" s="121"/>
      <c r="F140" s="121"/>
      <c r="G140" s="551">
        <f>G139+G138</f>
        <v>614.08629895210402</v>
      </c>
      <c r="H140" s="642" t="s">
        <v>25</v>
      </c>
      <c r="I140" s="164"/>
      <c r="J140" s="164"/>
      <c r="K140" s="165"/>
      <c r="L140" s="165"/>
      <c r="M140" s="165"/>
      <c r="N140" s="164"/>
      <c r="O140" s="164"/>
      <c r="P140" s="164"/>
      <c r="Q140" s="164"/>
      <c r="R140" s="164"/>
    </row>
    <row r="141" spans="1:18" s="149" customFormat="1" ht="15">
      <c r="A141" s="135"/>
      <c r="B141" s="568"/>
      <c r="C141" s="121"/>
      <c r="D141" s="121"/>
      <c r="E141" s="121"/>
      <c r="F141" s="121"/>
      <c r="G141" s="498"/>
      <c r="H141" s="430"/>
      <c r="I141" s="164"/>
      <c r="J141" s="164"/>
      <c r="K141" s="165"/>
      <c r="L141" s="165"/>
      <c r="M141" s="165"/>
      <c r="N141" s="164"/>
      <c r="O141" s="164"/>
      <c r="P141" s="164"/>
      <c r="Q141" s="164"/>
      <c r="R141" s="164"/>
    </row>
    <row r="142" spans="1:18" s="149" customFormat="1" ht="15">
      <c r="A142" s="135">
        <v>3</v>
      </c>
      <c r="B142" s="566" t="s">
        <v>601</v>
      </c>
      <c r="C142" s="121"/>
      <c r="D142" s="121"/>
      <c r="E142" s="121"/>
      <c r="F142" s="121"/>
      <c r="G142" s="498"/>
      <c r="H142" s="430"/>
      <c r="I142" s="164"/>
      <c r="J142" s="164"/>
      <c r="K142" s="165"/>
      <c r="L142" s="165"/>
      <c r="M142" s="165"/>
      <c r="N142" s="164"/>
      <c r="O142" s="164"/>
      <c r="P142" s="164"/>
      <c r="Q142" s="164"/>
      <c r="R142" s="164"/>
    </row>
    <row r="143" spans="1:18" s="164" customFormat="1" ht="15.75">
      <c r="A143" s="249"/>
      <c r="B143" s="577" t="s">
        <v>1242</v>
      </c>
      <c r="C143" s="4"/>
      <c r="D143" s="57"/>
      <c r="E143" s="57"/>
      <c r="F143" s="57"/>
      <c r="G143" s="578"/>
      <c r="H143" s="166"/>
      <c r="K143" s="165"/>
      <c r="L143" s="165"/>
      <c r="M143" s="165"/>
    </row>
    <row r="144" spans="1:18" s="164" customFormat="1" ht="15">
      <c r="A144" s="249"/>
      <c r="B144" s="568" t="s">
        <v>1299</v>
      </c>
      <c r="C144" s="569">
        <v>41</v>
      </c>
      <c r="D144" s="57">
        <v>1.85</v>
      </c>
      <c r="E144" s="57">
        <v>1.85</v>
      </c>
      <c r="F144" s="57">
        <v>0.1</v>
      </c>
      <c r="G144" s="629">
        <f>F144*E144*D144*C144</f>
        <v>14.032250000000003</v>
      </c>
      <c r="H144" s="166"/>
      <c r="K144" s="165"/>
      <c r="L144" s="165"/>
      <c r="M144" s="165"/>
    </row>
    <row r="145" spans="1:13" s="164" customFormat="1" ht="15">
      <c r="A145" s="249"/>
      <c r="B145" s="568" t="s">
        <v>1300</v>
      </c>
      <c r="C145" s="569">
        <v>37</v>
      </c>
      <c r="D145" s="57">
        <v>2</v>
      </c>
      <c r="E145" s="57">
        <v>2</v>
      </c>
      <c r="F145" s="57">
        <v>0.1</v>
      </c>
      <c r="G145" s="629">
        <f>F145*E145*D145*C145</f>
        <v>14.8</v>
      </c>
      <c r="H145" s="166"/>
      <c r="K145" s="165"/>
      <c r="L145" s="165"/>
      <c r="M145" s="165"/>
    </row>
    <row r="146" spans="1:13" s="164" customFormat="1" ht="15">
      <c r="A146" s="249"/>
      <c r="B146" s="568" t="s">
        <v>1301</v>
      </c>
      <c r="C146" s="569">
        <v>7</v>
      </c>
      <c r="D146" s="57">
        <v>1.55</v>
      </c>
      <c r="E146" s="57">
        <v>1.55</v>
      </c>
      <c r="F146" s="57">
        <v>0.1</v>
      </c>
      <c r="G146" s="629">
        <f>F146*E146*D146*C146</f>
        <v>1.6817500000000003</v>
      </c>
      <c r="H146" s="166"/>
      <c r="K146" s="165"/>
      <c r="L146" s="165"/>
      <c r="M146" s="165"/>
    </row>
    <row r="147" spans="1:13" s="164" customFormat="1" ht="15">
      <c r="A147" s="249"/>
      <c r="B147" s="568" t="s">
        <v>1378</v>
      </c>
      <c r="C147" s="569">
        <v>4</v>
      </c>
      <c r="D147" s="57">
        <v>3.32</v>
      </c>
      <c r="E147" s="57">
        <v>2.17</v>
      </c>
      <c r="F147" s="57">
        <v>0.1</v>
      </c>
      <c r="G147" s="629">
        <f>F147*E147*D147*C147</f>
        <v>2.8817599999999999</v>
      </c>
      <c r="H147" s="166"/>
      <c r="K147" s="165"/>
      <c r="L147" s="165"/>
      <c r="M147" s="165"/>
    </row>
    <row r="148" spans="1:13" s="164" customFormat="1" ht="15">
      <c r="A148" s="249"/>
      <c r="B148" s="568" t="s">
        <v>1379</v>
      </c>
      <c r="C148" s="569">
        <v>4</v>
      </c>
      <c r="D148" s="1277">
        <f>6626657.1244/1000000</f>
        <v>6.6266571244000003</v>
      </c>
      <c r="E148" s="1277"/>
      <c r="F148" s="57">
        <v>0.1</v>
      </c>
      <c r="G148" s="629">
        <f>F148*D148*C148</f>
        <v>2.6506628497600002</v>
      </c>
      <c r="H148" s="166"/>
      <c r="K148" s="165"/>
      <c r="L148" s="165"/>
      <c r="M148" s="165"/>
    </row>
    <row r="149" spans="1:13" s="164" customFormat="1" ht="15">
      <c r="A149" s="249"/>
      <c r="B149" s="568" t="s">
        <v>1380</v>
      </c>
      <c r="C149" s="569">
        <v>4</v>
      </c>
      <c r="D149" s="57">
        <v>2.25</v>
      </c>
      <c r="E149" s="57">
        <v>3.5</v>
      </c>
      <c r="F149" s="57">
        <v>0.1</v>
      </c>
      <c r="G149" s="629">
        <f>F149*E149*D149*C149</f>
        <v>3.1500000000000004</v>
      </c>
      <c r="H149" s="166"/>
      <c r="K149" s="165"/>
      <c r="L149" s="165"/>
      <c r="M149" s="165"/>
    </row>
    <row r="150" spans="1:13" s="164" customFormat="1" ht="15">
      <c r="A150" s="249"/>
      <c r="B150" s="568" t="s">
        <v>481</v>
      </c>
      <c r="C150" s="569">
        <v>2</v>
      </c>
      <c r="D150" s="57">
        <v>1.8</v>
      </c>
      <c r="E150" s="57">
        <v>0.5</v>
      </c>
      <c r="F150" s="57">
        <v>0.1</v>
      </c>
      <c r="G150" s="629">
        <f t="shared" ref="G150:G231" si="7">F150*E150*D150*C150</f>
        <v>0.18000000000000002</v>
      </c>
      <c r="H150" s="166"/>
      <c r="K150" s="165"/>
      <c r="L150" s="165"/>
      <c r="M150" s="165"/>
    </row>
    <row r="151" spans="1:13" s="164" customFormat="1" ht="15">
      <c r="A151" s="249"/>
      <c r="B151" s="568"/>
      <c r="C151" s="569">
        <v>1</v>
      </c>
      <c r="D151" s="57">
        <v>4.5</v>
      </c>
      <c r="E151" s="57">
        <v>0.75</v>
      </c>
      <c r="F151" s="57">
        <v>0.1</v>
      </c>
      <c r="G151" s="629">
        <f t="shared" si="7"/>
        <v>0.33750000000000002</v>
      </c>
      <c r="H151" s="166"/>
      <c r="K151" s="165"/>
      <c r="L151" s="165"/>
      <c r="M151" s="165"/>
    </row>
    <row r="152" spans="1:13" s="164" customFormat="1" ht="15">
      <c r="A152" s="249"/>
      <c r="B152" s="568"/>
      <c r="C152" s="569">
        <v>2</v>
      </c>
      <c r="D152" s="57">
        <v>2.4</v>
      </c>
      <c r="E152" s="57">
        <v>0.5</v>
      </c>
      <c r="F152" s="57">
        <v>0.1</v>
      </c>
      <c r="G152" s="629">
        <f t="shared" si="7"/>
        <v>0.24</v>
      </c>
      <c r="H152" s="166"/>
      <c r="K152" s="165"/>
      <c r="L152" s="165"/>
      <c r="M152" s="165"/>
    </row>
    <row r="153" spans="1:13" s="164" customFormat="1">
      <c r="A153" s="249"/>
      <c r="B153" s="573" t="s">
        <v>1241</v>
      </c>
      <c r="C153" s="53">
        <v>12</v>
      </c>
      <c r="D153" s="184">
        <v>4.38</v>
      </c>
      <c r="E153" s="56">
        <f>2.16*0.3</f>
        <v>0.64800000000000002</v>
      </c>
      <c r="F153" s="57">
        <v>0.1</v>
      </c>
      <c r="G153" s="629">
        <f t="shared" si="7"/>
        <v>3.405888</v>
      </c>
      <c r="H153" s="166"/>
      <c r="K153" s="165"/>
      <c r="L153" s="165"/>
      <c r="M153" s="165"/>
    </row>
    <row r="154" spans="1:13" s="164" customFormat="1">
      <c r="A154" s="249"/>
      <c r="B154" s="574"/>
      <c r="C154" s="53">
        <v>12</v>
      </c>
      <c r="D154" s="184">
        <v>3.49</v>
      </c>
      <c r="E154" s="56">
        <f t="shared" ref="E154:E183" si="8">2.16*0.3</f>
        <v>0.64800000000000002</v>
      </c>
      <c r="F154" s="57">
        <v>0.1</v>
      </c>
      <c r="G154" s="629">
        <f t="shared" si="7"/>
        <v>2.7138240000000007</v>
      </c>
      <c r="H154" s="166"/>
      <c r="K154" s="165"/>
      <c r="L154" s="165"/>
      <c r="M154" s="165"/>
    </row>
    <row r="155" spans="1:13" s="164" customFormat="1">
      <c r="A155" s="249"/>
      <c r="B155" s="574"/>
      <c r="C155" s="53">
        <v>4</v>
      </c>
      <c r="D155" s="184">
        <v>1.0900000000000001</v>
      </c>
      <c r="E155" s="56">
        <f t="shared" si="8"/>
        <v>0.64800000000000002</v>
      </c>
      <c r="F155" s="57">
        <v>0.1</v>
      </c>
      <c r="G155" s="629">
        <f t="shared" si="7"/>
        <v>0.28252800000000006</v>
      </c>
      <c r="H155" s="166"/>
      <c r="K155" s="165"/>
      <c r="L155" s="165"/>
      <c r="M155" s="165"/>
    </row>
    <row r="156" spans="1:13" s="164" customFormat="1">
      <c r="A156" s="249"/>
      <c r="B156" s="574"/>
      <c r="C156" s="53">
        <v>4</v>
      </c>
      <c r="D156" s="184">
        <v>1.1499999999999999</v>
      </c>
      <c r="E156" s="56">
        <f t="shared" si="8"/>
        <v>0.64800000000000002</v>
      </c>
      <c r="F156" s="57">
        <v>0.1</v>
      </c>
      <c r="G156" s="629">
        <f t="shared" si="7"/>
        <v>0.29808000000000001</v>
      </c>
      <c r="H156" s="166"/>
      <c r="K156" s="165"/>
      <c r="L156" s="165"/>
      <c r="M156" s="165"/>
    </row>
    <row r="157" spans="1:13" s="164" customFormat="1">
      <c r="A157" s="249"/>
      <c r="B157" s="574"/>
      <c r="C157" s="53">
        <v>2</v>
      </c>
      <c r="D157" s="184">
        <v>4.835</v>
      </c>
      <c r="E157" s="56">
        <f t="shared" si="8"/>
        <v>0.64800000000000002</v>
      </c>
      <c r="F157" s="57">
        <v>0.1</v>
      </c>
      <c r="G157" s="629">
        <f t="shared" si="7"/>
        <v>0.62661600000000006</v>
      </c>
      <c r="H157" s="166"/>
      <c r="K157" s="165"/>
      <c r="L157" s="165"/>
      <c r="M157" s="165"/>
    </row>
    <row r="158" spans="1:13" s="164" customFormat="1">
      <c r="A158" s="249"/>
      <c r="B158" s="574"/>
      <c r="C158" s="53">
        <v>2</v>
      </c>
      <c r="D158" s="184">
        <v>3.4950000000000001</v>
      </c>
      <c r="E158" s="56">
        <f t="shared" si="8"/>
        <v>0.64800000000000002</v>
      </c>
      <c r="F158" s="57">
        <v>0.1</v>
      </c>
      <c r="G158" s="629">
        <f t="shared" si="7"/>
        <v>0.45295200000000008</v>
      </c>
      <c r="H158" s="166"/>
      <c r="K158" s="165"/>
      <c r="L158" s="165"/>
      <c r="M158" s="165"/>
    </row>
    <row r="159" spans="1:13" s="164" customFormat="1">
      <c r="A159" s="249"/>
      <c r="B159" s="574"/>
      <c r="C159" s="53">
        <v>2</v>
      </c>
      <c r="D159" s="184">
        <v>0.45500000000000002</v>
      </c>
      <c r="E159" s="56">
        <f t="shared" si="8"/>
        <v>0.64800000000000002</v>
      </c>
      <c r="F159" s="57">
        <v>0.1</v>
      </c>
      <c r="G159" s="629">
        <f t="shared" si="7"/>
        <v>5.8968000000000013E-2</v>
      </c>
      <c r="H159" s="166"/>
      <c r="K159" s="165"/>
      <c r="L159" s="165"/>
      <c r="M159" s="165"/>
    </row>
    <row r="160" spans="1:13" s="164" customFormat="1">
      <c r="A160" s="249"/>
      <c r="B160" s="574"/>
      <c r="C160" s="53">
        <v>1</v>
      </c>
      <c r="D160" s="184">
        <v>2.52</v>
      </c>
      <c r="E160" s="56">
        <f t="shared" si="8"/>
        <v>0.64800000000000002</v>
      </c>
      <c r="F160" s="57">
        <v>0.1</v>
      </c>
      <c r="G160" s="629">
        <f t="shared" si="7"/>
        <v>0.16329600000000002</v>
      </c>
      <c r="H160" s="166"/>
      <c r="K160" s="165"/>
      <c r="L160" s="165"/>
      <c r="M160" s="165"/>
    </row>
    <row r="161" spans="1:13" s="164" customFormat="1">
      <c r="A161" s="249"/>
      <c r="B161" s="574"/>
      <c r="C161" s="53">
        <v>1</v>
      </c>
      <c r="D161" s="184">
        <v>4.7649999999999997</v>
      </c>
      <c r="E161" s="56">
        <f t="shared" si="8"/>
        <v>0.64800000000000002</v>
      </c>
      <c r="F161" s="57">
        <v>0.1</v>
      </c>
      <c r="G161" s="629">
        <f t="shared" si="7"/>
        <v>0.30877200000000005</v>
      </c>
      <c r="H161" s="166"/>
      <c r="K161" s="165"/>
      <c r="L161" s="165"/>
      <c r="M161" s="165"/>
    </row>
    <row r="162" spans="1:13" s="164" customFormat="1">
      <c r="A162" s="249"/>
      <c r="B162" s="574"/>
      <c r="C162" s="53">
        <v>1</v>
      </c>
      <c r="D162" s="184">
        <v>4.2850000000000001</v>
      </c>
      <c r="E162" s="56">
        <f t="shared" si="8"/>
        <v>0.64800000000000002</v>
      </c>
      <c r="F162" s="57">
        <v>0.1</v>
      </c>
      <c r="G162" s="629">
        <f t="shared" si="7"/>
        <v>0.27766800000000003</v>
      </c>
      <c r="H162" s="166"/>
      <c r="K162" s="165"/>
      <c r="L162" s="165"/>
      <c r="M162" s="165"/>
    </row>
    <row r="163" spans="1:13" s="164" customFormat="1">
      <c r="A163" s="249"/>
      <c r="B163" s="574"/>
      <c r="C163" s="53">
        <v>3</v>
      </c>
      <c r="D163" s="184">
        <v>2.4449999999999998</v>
      </c>
      <c r="E163" s="56">
        <f t="shared" si="8"/>
        <v>0.64800000000000002</v>
      </c>
      <c r="F163" s="57">
        <v>0.1</v>
      </c>
      <c r="G163" s="629">
        <f t="shared" si="7"/>
        <v>0.47530800000000006</v>
      </c>
      <c r="H163" s="166"/>
      <c r="K163" s="165"/>
      <c r="L163" s="165"/>
      <c r="M163" s="165"/>
    </row>
    <row r="164" spans="1:13" s="164" customFormat="1">
      <c r="A164" s="249"/>
      <c r="B164" s="574"/>
      <c r="C164" s="53">
        <v>1</v>
      </c>
      <c r="D164" s="184">
        <v>2.395</v>
      </c>
      <c r="E164" s="56">
        <f t="shared" si="8"/>
        <v>0.64800000000000002</v>
      </c>
      <c r="F164" s="57">
        <v>0.1</v>
      </c>
      <c r="G164" s="629">
        <f t="shared" si="7"/>
        <v>0.15519600000000003</v>
      </c>
      <c r="H164" s="166"/>
      <c r="K164" s="165"/>
      <c r="L164" s="165"/>
      <c r="M164" s="165"/>
    </row>
    <row r="165" spans="1:13" s="164" customFormat="1">
      <c r="A165" s="249"/>
      <c r="B165" s="574"/>
      <c r="C165" s="53">
        <v>1</v>
      </c>
      <c r="D165" s="184">
        <v>2.42</v>
      </c>
      <c r="E165" s="56">
        <f t="shared" si="8"/>
        <v>0.64800000000000002</v>
      </c>
      <c r="F165" s="57">
        <v>0.1</v>
      </c>
      <c r="G165" s="629">
        <f t="shared" si="7"/>
        <v>0.15681600000000001</v>
      </c>
      <c r="H165" s="166"/>
      <c r="K165" s="165"/>
      <c r="L165" s="165"/>
      <c r="M165" s="165"/>
    </row>
    <row r="166" spans="1:13" s="164" customFormat="1">
      <c r="A166" s="249"/>
      <c r="B166" s="574"/>
      <c r="C166" s="53">
        <v>2</v>
      </c>
      <c r="D166" s="184">
        <v>1.8</v>
      </c>
      <c r="E166" s="56">
        <f t="shared" si="8"/>
        <v>0.64800000000000002</v>
      </c>
      <c r="F166" s="57">
        <v>0.1</v>
      </c>
      <c r="G166" s="629">
        <f t="shared" si="7"/>
        <v>0.23328000000000004</v>
      </c>
      <c r="H166" s="166"/>
      <c r="K166" s="165"/>
      <c r="L166" s="165"/>
      <c r="M166" s="165"/>
    </row>
    <row r="167" spans="1:13" s="164" customFormat="1">
      <c r="A167" s="249"/>
      <c r="B167" s="574"/>
      <c r="C167" s="53">
        <v>2</v>
      </c>
      <c r="D167" s="184">
        <v>3.3250000000000002</v>
      </c>
      <c r="E167" s="56">
        <f t="shared" si="8"/>
        <v>0.64800000000000002</v>
      </c>
      <c r="F167" s="57">
        <v>0.1</v>
      </c>
      <c r="G167" s="629">
        <f t="shared" si="7"/>
        <v>0.43092000000000008</v>
      </c>
      <c r="H167" s="166"/>
      <c r="K167" s="165"/>
      <c r="L167" s="165"/>
      <c r="M167" s="165"/>
    </row>
    <row r="168" spans="1:13" s="164" customFormat="1">
      <c r="A168" s="249"/>
      <c r="B168" s="574"/>
      <c r="C168" s="53">
        <v>2</v>
      </c>
      <c r="D168" s="184">
        <v>3.2850000000000001</v>
      </c>
      <c r="E168" s="56">
        <f t="shared" si="8"/>
        <v>0.64800000000000002</v>
      </c>
      <c r="F168" s="57">
        <v>0.1</v>
      </c>
      <c r="G168" s="629">
        <f t="shared" si="7"/>
        <v>0.42573600000000006</v>
      </c>
      <c r="H168" s="166"/>
      <c r="K168" s="165"/>
      <c r="L168" s="165"/>
      <c r="M168" s="165"/>
    </row>
    <row r="169" spans="1:13" s="164" customFormat="1">
      <c r="A169" s="249"/>
      <c r="B169" s="574"/>
      <c r="C169" s="53">
        <v>2</v>
      </c>
      <c r="D169" s="184">
        <v>3.4249999999999998</v>
      </c>
      <c r="E169" s="56">
        <f t="shared" si="8"/>
        <v>0.64800000000000002</v>
      </c>
      <c r="F169" s="57">
        <v>0.1</v>
      </c>
      <c r="G169" s="629">
        <f t="shared" si="7"/>
        <v>0.44388000000000005</v>
      </c>
      <c r="H169" s="166"/>
      <c r="K169" s="165"/>
      <c r="L169" s="165"/>
      <c r="M169" s="165"/>
    </row>
    <row r="170" spans="1:13" s="164" customFormat="1">
      <c r="A170" s="249"/>
      <c r="B170" s="574"/>
      <c r="C170" s="53">
        <v>2</v>
      </c>
      <c r="D170" s="184">
        <v>4.78</v>
      </c>
      <c r="E170" s="56">
        <f t="shared" si="8"/>
        <v>0.64800000000000002</v>
      </c>
      <c r="F170" s="57">
        <v>0.1</v>
      </c>
      <c r="G170" s="629">
        <f t="shared" si="7"/>
        <v>0.61948800000000015</v>
      </c>
      <c r="H170" s="166"/>
      <c r="K170" s="165"/>
      <c r="L170" s="165"/>
      <c r="M170" s="165"/>
    </row>
    <row r="171" spans="1:13" s="164" customFormat="1">
      <c r="A171" s="249"/>
      <c r="B171" s="574"/>
      <c r="C171" s="53">
        <v>4</v>
      </c>
      <c r="D171" s="184">
        <v>2.31</v>
      </c>
      <c r="E171" s="56">
        <f t="shared" si="8"/>
        <v>0.64800000000000002</v>
      </c>
      <c r="F171" s="57">
        <v>0.1</v>
      </c>
      <c r="G171" s="629">
        <f t="shared" si="7"/>
        <v>0.59875200000000006</v>
      </c>
      <c r="H171" s="166"/>
      <c r="K171" s="165"/>
      <c r="L171" s="165"/>
      <c r="M171" s="165"/>
    </row>
    <row r="172" spans="1:13" s="164" customFormat="1">
      <c r="A172" s="249"/>
      <c r="B172" s="574"/>
      <c r="C172" s="53">
        <v>4</v>
      </c>
      <c r="D172" s="184">
        <v>2.2850000000000001</v>
      </c>
      <c r="E172" s="56">
        <f t="shared" si="8"/>
        <v>0.64800000000000002</v>
      </c>
      <c r="F172" s="57">
        <v>0.1</v>
      </c>
      <c r="G172" s="629">
        <f t="shared" si="7"/>
        <v>0.59227200000000013</v>
      </c>
      <c r="H172" s="166"/>
      <c r="K172" s="165"/>
      <c r="L172" s="165"/>
      <c r="M172" s="165"/>
    </row>
    <row r="173" spans="1:13" s="164" customFormat="1">
      <c r="A173" s="249"/>
      <c r="B173" s="574"/>
      <c r="C173" s="53">
        <v>2</v>
      </c>
      <c r="D173" s="184">
        <v>2.1549999999999998</v>
      </c>
      <c r="E173" s="56">
        <f t="shared" si="8"/>
        <v>0.64800000000000002</v>
      </c>
      <c r="F173" s="57">
        <v>0.1</v>
      </c>
      <c r="G173" s="629">
        <f t="shared" si="7"/>
        <v>0.27928800000000004</v>
      </c>
      <c r="H173" s="166"/>
      <c r="K173" s="165"/>
      <c r="L173" s="165"/>
      <c r="M173" s="165"/>
    </row>
    <row r="174" spans="1:13" s="164" customFormat="1">
      <c r="A174" s="249"/>
      <c r="B174" s="574"/>
      <c r="C174" s="53">
        <v>2</v>
      </c>
      <c r="D174" s="184">
        <v>3.14</v>
      </c>
      <c r="E174" s="56">
        <f t="shared" si="8"/>
        <v>0.64800000000000002</v>
      </c>
      <c r="F174" s="57">
        <v>0.1</v>
      </c>
      <c r="G174" s="629">
        <f t="shared" si="7"/>
        <v>0.40694400000000008</v>
      </c>
      <c r="H174" s="166"/>
      <c r="K174" s="165"/>
      <c r="L174" s="165"/>
      <c r="M174" s="165"/>
    </row>
    <row r="175" spans="1:13" s="164" customFormat="1">
      <c r="A175" s="249"/>
      <c r="B175" s="574"/>
      <c r="C175" s="53">
        <v>1</v>
      </c>
      <c r="D175" s="184">
        <v>8.08</v>
      </c>
      <c r="E175" s="56">
        <f t="shared" si="8"/>
        <v>0.64800000000000002</v>
      </c>
      <c r="F175" s="57">
        <v>0.1</v>
      </c>
      <c r="G175" s="629">
        <f t="shared" si="7"/>
        <v>0.52358400000000005</v>
      </c>
      <c r="H175" s="166"/>
      <c r="K175" s="165"/>
      <c r="L175" s="165"/>
      <c r="M175" s="165"/>
    </row>
    <row r="176" spans="1:13" s="164" customFormat="1">
      <c r="A176" s="249"/>
      <c r="B176" s="574"/>
      <c r="C176" s="53">
        <v>2</v>
      </c>
      <c r="D176" s="184">
        <v>3.15</v>
      </c>
      <c r="E176" s="56">
        <f t="shared" si="8"/>
        <v>0.64800000000000002</v>
      </c>
      <c r="F176" s="57">
        <v>0.1</v>
      </c>
      <c r="G176" s="629">
        <f t="shared" si="7"/>
        <v>0.40824000000000005</v>
      </c>
      <c r="H176" s="166"/>
      <c r="K176" s="165"/>
      <c r="L176" s="165"/>
      <c r="M176" s="165"/>
    </row>
    <row r="177" spans="1:13" s="164" customFormat="1">
      <c r="A177" s="249"/>
      <c r="B177" s="574"/>
      <c r="C177" s="53">
        <v>8</v>
      </c>
      <c r="D177" s="184">
        <v>3.35</v>
      </c>
      <c r="E177" s="56">
        <f t="shared" si="8"/>
        <v>0.64800000000000002</v>
      </c>
      <c r="F177" s="57">
        <v>0.1</v>
      </c>
      <c r="G177" s="629">
        <f t="shared" si="7"/>
        <v>1.7366400000000004</v>
      </c>
      <c r="H177" s="166"/>
      <c r="K177" s="165"/>
      <c r="L177" s="165"/>
      <c r="M177" s="165"/>
    </row>
    <row r="178" spans="1:13" s="164" customFormat="1">
      <c r="A178" s="249"/>
      <c r="B178" s="574"/>
      <c r="C178" s="53">
        <v>2</v>
      </c>
      <c r="D178" s="184">
        <v>3.4</v>
      </c>
      <c r="E178" s="56">
        <f t="shared" si="8"/>
        <v>0.64800000000000002</v>
      </c>
      <c r="F178" s="57">
        <v>0.1</v>
      </c>
      <c r="G178" s="629">
        <f t="shared" si="7"/>
        <v>0.44064000000000003</v>
      </c>
      <c r="H178" s="166"/>
      <c r="K178" s="165"/>
      <c r="L178" s="165"/>
      <c r="M178" s="165"/>
    </row>
    <row r="179" spans="1:13" s="164" customFormat="1">
      <c r="A179" s="249"/>
      <c r="B179" s="574"/>
      <c r="C179" s="53">
        <v>2</v>
      </c>
      <c r="D179" s="184">
        <v>1.55</v>
      </c>
      <c r="E179" s="56">
        <f t="shared" si="8"/>
        <v>0.64800000000000002</v>
      </c>
      <c r="F179" s="57">
        <v>0.1</v>
      </c>
      <c r="G179" s="629">
        <f t="shared" si="7"/>
        <v>0.20088000000000003</v>
      </c>
      <c r="H179" s="166"/>
      <c r="K179" s="165"/>
      <c r="L179" s="165"/>
      <c r="M179" s="165"/>
    </row>
    <row r="180" spans="1:13" s="164" customFormat="1">
      <c r="A180" s="249"/>
      <c r="B180" s="574"/>
      <c r="C180" s="53">
        <v>2</v>
      </c>
      <c r="D180" s="184">
        <v>3.3250000000000002</v>
      </c>
      <c r="E180" s="56">
        <f t="shared" si="8"/>
        <v>0.64800000000000002</v>
      </c>
      <c r="F180" s="57">
        <v>0.1</v>
      </c>
      <c r="G180" s="629">
        <f t="shared" si="7"/>
        <v>0.43092000000000008</v>
      </c>
      <c r="H180" s="166"/>
      <c r="K180" s="165"/>
      <c r="L180" s="165"/>
      <c r="M180" s="165"/>
    </row>
    <row r="181" spans="1:13" s="164" customFormat="1">
      <c r="A181" s="249"/>
      <c r="B181" s="574"/>
      <c r="C181" s="53">
        <v>2</v>
      </c>
      <c r="D181" s="184">
        <v>3.2850000000000001</v>
      </c>
      <c r="E181" s="56">
        <f t="shared" si="8"/>
        <v>0.64800000000000002</v>
      </c>
      <c r="F181" s="57">
        <v>0.1</v>
      </c>
      <c r="G181" s="629">
        <f t="shared" si="7"/>
        <v>0.42573600000000006</v>
      </c>
      <c r="H181" s="166"/>
      <c r="K181" s="165"/>
      <c r="L181" s="165"/>
      <c r="M181" s="165"/>
    </row>
    <row r="182" spans="1:13" s="164" customFormat="1">
      <c r="A182" s="249"/>
      <c r="B182" s="574"/>
      <c r="C182" s="53">
        <v>2</v>
      </c>
      <c r="D182" s="184">
        <v>3.4249999999999998</v>
      </c>
      <c r="E182" s="56">
        <f t="shared" si="8"/>
        <v>0.64800000000000002</v>
      </c>
      <c r="F182" s="57">
        <v>0.1</v>
      </c>
      <c r="G182" s="629">
        <f t="shared" si="7"/>
        <v>0.44388000000000005</v>
      </c>
      <c r="H182" s="166"/>
      <c r="K182" s="165"/>
      <c r="L182" s="165"/>
      <c r="M182" s="165"/>
    </row>
    <row r="183" spans="1:13" s="164" customFormat="1">
      <c r="A183" s="249"/>
      <c r="B183" s="574"/>
      <c r="C183" s="53">
        <v>2</v>
      </c>
      <c r="D183" s="184">
        <v>0.9</v>
      </c>
      <c r="E183" s="56">
        <f t="shared" si="8"/>
        <v>0.64800000000000002</v>
      </c>
      <c r="F183" s="57">
        <v>0.1</v>
      </c>
      <c r="G183" s="629">
        <f t="shared" si="7"/>
        <v>0.11664000000000002</v>
      </c>
      <c r="H183" s="166"/>
      <c r="K183" s="165"/>
      <c r="L183" s="165"/>
      <c r="M183" s="165"/>
    </row>
    <row r="184" spans="1:13" s="164" customFormat="1">
      <c r="A184" s="249"/>
      <c r="B184" s="445" t="s">
        <v>1291</v>
      </c>
      <c r="C184" s="569">
        <v>8</v>
      </c>
      <c r="D184" s="658">
        <v>1.36</v>
      </c>
      <c r="E184" s="658">
        <v>1.115</v>
      </c>
      <c r="F184" s="57">
        <v>0.1</v>
      </c>
      <c r="G184" s="629">
        <f t="shared" si="7"/>
        <v>1.2131200000000002</v>
      </c>
      <c r="H184" s="166"/>
      <c r="K184" s="165"/>
      <c r="L184" s="165"/>
      <c r="M184" s="165"/>
    </row>
    <row r="185" spans="1:13" s="164" customFormat="1">
      <c r="A185" s="249"/>
      <c r="B185" s="264"/>
      <c r="C185" s="569">
        <v>8</v>
      </c>
      <c r="D185" s="658">
        <v>1.36</v>
      </c>
      <c r="E185" s="658">
        <v>0.99</v>
      </c>
      <c r="F185" s="57">
        <v>0.1</v>
      </c>
      <c r="G185" s="629">
        <f t="shared" si="7"/>
        <v>1.0771200000000001</v>
      </c>
      <c r="H185" s="166"/>
      <c r="K185" s="165"/>
      <c r="L185" s="165"/>
      <c r="M185" s="165"/>
    </row>
    <row r="186" spans="1:13" s="164" customFormat="1">
      <c r="A186" s="249"/>
      <c r="B186" s="264"/>
      <c r="C186" s="569">
        <v>4</v>
      </c>
      <c r="D186" s="658">
        <v>1.36</v>
      </c>
      <c r="E186" s="658">
        <v>1.0349999999999999</v>
      </c>
      <c r="F186" s="57">
        <v>0.1</v>
      </c>
      <c r="G186" s="629">
        <f t="shared" si="7"/>
        <v>0.56303999999999998</v>
      </c>
      <c r="H186" s="166"/>
      <c r="K186" s="165"/>
      <c r="L186" s="165"/>
      <c r="M186" s="165"/>
    </row>
    <row r="187" spans="1:13" s="164" customFormat="1">
      <c r="A187" s="249"/>
      <c r="B187" s="264"/>
      <c r="C187" s="569">
        <v>4</v>
      </c>
      <c r="D187" s="658">
        <v>1.36</v>
      </c>
      <c r="E187" s="658">
        <v>0.94</v>
      </c>
      <c r="F187" s="57">
        <v>0.1</v>
      </c>
      <c r="G187" s="629">
        <f t="shared" si="7"/>
        <v>0.51136000000000004</v>
      </c>
      <c r="H187" s="166"/>
      <c r="K187" s="165"/>
      <c r="L187" s="165"/>
      <c r="M187" s="165"/>
    </row>
    <row r="188" spans="1:13" s="164" customFormat="1">
      <c r="A188" s="249"/>
      <c r="B188" s="264"/>
      <c r="C188" s="569">
        <v>4</v>
      </c>
      <c r="D188" s="658">
        <v>1.45</v>
      </c>
      <c r="E188" s="658">
        <v>3.64</v>
      </c>
      <c r="F188" s="57">
        <v>0.1</v>
      </c>
      <c r="G188" s="629">
        <f t="shared" si="7"/>
        <v>2.1112000000000002</v>
      </c>
      <c r="H188" s="166"/>
      <c r="K188" s="165"/>
      <c r="L188" s="165"/>
      <c r="M188" s="165"/>
    </row>
    <row r="189" spans="1:13" s="164" customFormat="1">
      <c r="A189" s="249"/>
      <c r="B189" s="264"/>
      <c r="C189" s="569">
        <v>4</v>
      </c>
      <c r="D189" s="658">
        <v>1.45</v>
      </c>
      <c r="E189" s="658">
        <v>3.54</v>
      </c>
      <c r="F189" s="57">
        <v>0.1</v>
      </c>
      <c r="G189" s="629">
        <f t="shared" si="7"/>
        <v>2.0532000000000004</v>
      </c>
      <c r="H189" s="166"/>
      <c r="K189" s="165"/>
      <c r="L189" s="165"/>
      <c r="M189" s="165"/>
    </row>
    <row r="190" spans="1:13" s="164" customFormat="1">
      <c r="A190" s="249"/>
      <c r="B190" s="264"/>
      <c r="C190" s="569">
        <v>4</v>
      </c>
      <c r="D190" s="658">
        <v>1.4650000000000001</v>
      </c>
      <c r="E190" s="658">
        <v>1.115</v>
      </c>
      <c r="F190" s="57">
        <v>0.1</v>
      </c>
      <c r="G190" s="629">
        <f t="shared" si="7"/>
        <v>0.65339000000000003</v>
      </c>
      <c r="H190" s="166"/>
      <c r="K190" s="165"/>
      <c r="L190" s="165"/>
      <c r="M190" s="165"/>
    </row>
    <row r="191" spans="1:13" s="164" customFormat="1">
      <c r="A191" s="249"/>
      <c r="B191" s="264"/>
      <c r="C191" s="569">
        <v>4</v>
      </c>
      <c r="D191" s="658">
        <v>1.4650000000000001</v>
      </c>
      <c r="E191" s="658">
        <v>0.99</v>
      </c>
      <c r="F191" s="57">
        <v>0.1</v>
      </c>
      <c r="G191" s="629">
        <f t="shared" si="7"/>
        <v>0.5801400000000001</v>
      </c>
      <c r="H191" s="166"/>
      <c r="K191" s="165"/>
      <c r="L191" s="165"/>
      <c r="M191" s="165"/>
    </row>
    <row r="192" spans="1:13" s="164" customFormat="1">
      <c r="A192" s="249"/>
      <c r="B192" s="264"/>
      <c r="C192" s="569">
        <v>4</v>
      </c>
      <c r="D192" s="658">
        <v>1.4650000000000001</v>
      </c>
      <c r="E192" s="658">
        <v>1.0349999999999999</v>
      </c>
      <c r="F192" s="57">
        <v>0.1</v>
      </c>
      <c r="G192" s="629">
        <f t="shared" si="7"/>
        <v>0.60650999999999999</v>
      </c>
      <c r="H192" s="166"/>
      <c r="K192" s="165"/>
      <c r="L192" s="165"/>
      <c r="M192" s="165"/>
    </row>
    <row r="193" spans="1:13" s="164" customFormat="1">
      <c r="A193" s="249"/>
      <c r="B193" s="264"/>
      <c r="C193" s="569">
        <v>4</v>
      </c>
      <c r="D193" s="658">
        <v>1.4650000000000001</v>
      </c>
      <c r="E193" s="658">
        <v>3.54</v>
      </c>
      <c r="F193" s="57">
        <v>0.1</v>
      </c>
      <c r="G193" s="629">
        <f t="shared" si="7"/>
        <v>2.0744400000000005</v>
      </c>
      <c r="H193" s="166"/>
      <c r="K193" s="165"/>
      <c r="L193" s="165"/>
      <c r="M193" s="165"/>
    </row>
    <row r="194" spans="1:13" s="164" customFormat="1">
      <c r="A194" s="249"/>
      <c r="B194" s="264"/>
      <c r="C194" s="569">
        <v>2</v>
      </c>
      <c r="D194" s="658">
        <v>3.6949999999999998</v>
      </c>
      <c r="E194" s="658">
        <v>4.835</v>
      </c>
      <c r="F194" s="57">
        <v>0.1</v>
      </c>
      <c r="G194" s="629">
        <f t="shared" si="7"/>
        <v>3.5730650000000002</v>
      </c>
      <c r="H194" s="166"/>
      <c r="K194" s="165"/>
      <c r="L194" s="165"/>
      <c r="M194" s="165"/>
    </row>
    <row r="195" spans="1:13" s="164" customFormat="1">
      <c r="A195" s="249"/>
      <c r="B195" s="264"/>
      <c r="C195" s="569">
        <v>1</v>
      </c>
      <c r="D195" s="658">
        <v>4.08</v>
      </c>
      <c r="E195" s="658">
        <v>5.7450000000000001</v>
      </c>
      <c r="F195" s="57">
        <v>0.1</v>
      </c>
      <c r="G195" s="629">
        <f t="shared" si="7"/>
        <v>2.34396</v>
      </c>
      <c r="H195" s="166"/>
      <c r="K195" s="165"/>
      <c r="L195" s="165"/>
      <c r="M195" s="165"/>
    </row>
    <row r="196" spans="1:13" s="164" customFormat="1">
      <c r="A196" s="249"/>
      <c r="B196" s="264"/>
      <c r="C196" s="569">
        <v>1</v>
      </c>
      <c r="D196" s="658">
        <v>2.52</v>
      </c>
      <c r="E196" s="658">
        <v>2.76</v>
      </c>
      <c r="F196" s="57">
        <v>0.1</v>
      </c>
      <c r="G196" s="629">
        <f t="shared" si="7"/>
        <v>0.69551999999999992</v>
      </c>
      <c r="H196" s="166"/>
      <c r="K196" s="165"/>
      <c r="L196" s="165"/>
      <c r="M196" s="165"/>
    </row>
    <row r="197" spans="1:13" s="164" customFormat="1">
      <c r="A197" s="249"/>
      <c r="B197" s="264"/>
      <c r="C197" s="569">
        <v>1</v>
      </c>
      <c r="D197" s="658">
        <v>2.52</v>
      </c>
      <c r="E197" s="658">
        <v>2.73</v>
      </c>
      <c r="F197" s="57">
        <v>0.1</v>
      </c>
      <c r="G197" s="629">
        <f t="shared" si="7"/>
        <v>0.68796000000000002</v>
      </c>
      <c r="H197" s="166"/>
      <c r="K197" s="165"/>
      <c r="L197" s="165"/>
      <c r="M197" s="165"/>
    </row>
    <row r="198" spans="1:13" s="164" customFormat="1">
      <c r="A198" s="249"/>
      <c r="B198" s="264"/>
      <c r="C198" s="569">
        <v>1</v>
      </c>
      <c r="D198" s="658">
        <v>3.3650000000000002</v>
      </c>
      <c r="E198" s="658">
        <v>5.7450000000000001</v>
      </c>
      <c r="F198" s="57">
        <v>0.1</v>
      </c>
      <c r="G198" s="629">
        <f t="shared" si="7"/>
        <v>1.9331925000000001</v>
      </c>
      <c r="H198" s="166"/>
      <c r="K198" s="165"/>
      <c r="L198" s="165"/>
      <c r="M198" s="165"/>
    </row>
    <row r="199" spans="1:13" s="164" customFormat="1">
      <c r="A199" s="249"/>
      <c r="B199" s="264"/>
      <c r="C199" s="569">
        <v>1</v>
      </c>
      <c r="D199" s="658">
        <v>1.72</v>
      </c>
      <c r="E199" s="658">
        <v>1.645</v>
      </c>
      <c r="F199" s="57">
        <v>0.1</v>
      </c>
      <c r="G199" s="629">
        <f t="shared" si="7"/>
        <v>0.28294000000000002</v>
      </c>
      <c r="H199" s="166"/>
      <c r="K199" s="165"/>
      <c r="L199" s="165"/>
      <c r="M199" s="165"/>
    </row>
    <row r="200" spans="1:13" s="164" customFormat="1">
      <c r="A200" s="249"/>
      <c r="B200" s="264"/>
      <c r="C200" s="569">
        <v>1</v>
      </c>
      <c r="D200" s="658">
        <v>1.72</v>
      </c>
      <c r="E200" s="658">
        <v>2.125</v>
      </c>
      <c r="F200" s="57">
        <v>0.1</v>
      </c>
      <c r="G200" s="629">
        <f t="shared" si="7"/>
        <v>0.36550000000000005</v>
      </c>
      <c r="H200" s="166"/>
      <c r="K200" s="165"/>
      <c r="L200" s="165"/>
      <c r="M200" s="165"/>
    </row>
    <row r="201" spans="1:13" s="164" customFormat="1">
      <c r="A201" s="249"/>
      <c r="B201" s="264"/>
      <c r="C201" s="569">
        <v>1</v>
      </c>
      <c r="D201" s="658">
        <v>1.72</v>
      </c>
      <c r="E201" s="658">
        <v>1.47</v>
      </c>
      <c r="F201" s="57">
        <v>0.1</v>
      </c>
      <c r="G201" s="629">
        <f t="shared" si="7"/>
        <v>0.25284000000000001</v>
      </c>
      <c r="H201" s="166"/>
      <c r="K201" s="165"/>
      <c r="L201" s="165"/>
      <c r="M201" s="165"/>
    </row>
    <row r="202" spans="1:13" s="164" customFormat="1">
      <c r="A202" s="249"/>
      <c r="B202" s="264"/>
      <c r="C202" s="569">
        <v>1</v>
      </c>
      <c r="D202" s="658">
        <v>1.165</v>
      </c>
      <c r="E202" s="658">
        <v>5.7450000000000001</v>
      </c>
      <c r="F202" s="57">
        <v>0.1</v>
      </c>
      <c r="G202" s="629">
        <f t="shared" si="7"/>
        <v>0.66929250000000007</v>
      </c>
      <c r="H202" s="166"/>
      <c r="K202" s="165"/>
      <c r="L202" s="165"/>
      <c r="M202" s="165"/>
    </row>
    <row r="203" spans="1:13" s="164" customFormat="1">
      <c r="A203" s="249"/>
      <c r="B203" s="264"/>
      <c r="C203" s="569">
        <v>1</v>
      </c>
      <c r="D203" s="658">
        <v>2.665</v>
      </c>
      <c r="E203" s="658">
        <v>5.7450000000000001</v>
      </c>
      <c r="F203" s="57">
        <v>0.1</v>
      </c>
      <c r="G203" s="629">
        <f t="shared" si="7"/>
        <v>1.5310425000000001</v>
      </c>
      <c r="H203" s="166"/>
      <c r="K203" s="165"/>
      <c r="L203" s="165"/>
      <c r="M203" s="165"/>
    </row>
    <row r="204" spans="1:13" s="164" customFormat="1">
      <c r="A204" s="249"/>
      <c r="B204" s="264"/>
      <c r="C204" s="569">
        <v>3</v>
      </c>
      <c r="D204" s="658">
        <v>3.03</v>
      </c>
      <c r="E204" s="658">
        <v>5.7450000000000001</v>
      </c>
      <c r="F204" s="57">
        <v>0.1</v>
      </c>
      <c r="G204" s="629">
        <f t="shared" si="7"/>
        <v>5.2222049999999998</v>
      </c>
      <c r="H204" s="166"/>
      <c r="K204" s="165"/>
      <c r="L204" s="165"/>
      <c r="M204" s="165"/>
    </row>
    <row r="205" spans="1:13" s="164" customFormat="1">
      <c r="A205" s="249"/>
      <c r="B205" s="264"/>
      <c r="C205" s="569">
        <v>2</v>
      </c>
      <c r="D205" s="658">
        <v>7.68</v>
      </c>
      <c r="E205" s="658">
        <v>4.2</v>
      </c>
      <c r="F205" s="57">
        <v>0.1</v>
      </c>
      <c r="G205" s="629">
        <f t="shared" si="7"/>
        <v>6.4512</v>
      </c>
      <c r="H205" s="166"/>
      <c r="K205" s="165"/>
      <c r="L205" s="165"/>
      <c r="M205" s="165"/>
    </row>
    <row r="206" spans="1:13" s="164" customFormat="1">
      <c r="A206" s="249"/>
      <c r="B206" s="264"/>
      <c r="C206" s="569">
        <v>1</v>
      </c>
      <c r="D206" s="658">
        <v>4.2649999999999997</v>
      </c>
      <c r="E206" s="658">
        <v>2.4</v>
      </c>
      <c r="F206" s="57">
        <v>0.1</v>
      </c>
      <c r="G206" s="629">
        <f t="shared" si="7"/>
        <v>1.0235999999999998</v>
      </c>
      <c r="H206" s="166"/>
      <c r="K206" s="165"/>
      <c r="L206" s="165"/>
      <c r="M206" s="165"/>
    </row>
    <row r="207" spans="1:13" s="164" customFormat="1">
      <c r="A207" s="249"/>
      <c r="B207" s="264"/>
      <c r="C207" s="569">
        <v>1</v>
      </c>
      <c r="D207" s="658">
        <v>3.3650000000000002</v>
      </c>
      <c r="E207" s="658">
        <v>2.4</v>
      </c>
      <c r="F207" s="57">
        <v>0.1</v>
      </c>
      <c r="G207" s="629">
        <f t="shared" si="7"/>
        <v>0.80759999999999998</v>
      </c>
      <c r="H207" s="166"/>
      <c r="K207" s="165"/>
      <c r="L207" s="165"/>
      <c r="M207" s="165"/>
    </row>
    <row r="208" spans="1:13" s="164" customFormat="1">
      <c r="A208" s="249"/>
      <c r="B208" s="264"/>
      <c r="C208" s="569">
        <v>1</v>
      </c>
      <c r="D208" s="658">
        <v>3.13</v>
      </c>
      <c r="E208" s="658">
        <v>2.4</v>
      </c>
      <c r="F208" s="57">
        <v>0.1</v>
      </c>
      <c r="G208" s="629">
        <f t="shared" si="7"/>
        <v>0.75119999999999998</v>
      </c>
      <c r="H208" s="166"/>
      <c r="K208" s="165"/>
      <c r="L208" s="165"/>
      <c r="M208" s="165"/>
    </row>
    <row r="209" spans="1:13" s="164" customFormat="1">
      <c r="A209" s="249"/>
      <c r="B209" s="264"/>
      <c r="C209" s="569">
        <v>1</v>
      </c>
      <c r="D209" s="658">
        <v>2.6549999999999998</v>
      </c>
      <c r="E209" s="658">
        <v>2.4</v>
      </c>
      <c r="F209" s="57">
        <v>0.1</v>
      </c>
      <c r="G209" s="629">
        <f t="shared" si="7"/>
        <v>0.63719999999999988</v>
      </c>
      <c r="H209" s="166"/>
      <c r="K209" s="165"/>
      <c r="L209" s="165"/>
      <c r="M209" s="165"/>
    </row>
    <row r="210" spans="1:13" s="164" customFormat="1">
      <c r="A210" s="249"/>
      <c r="B210" s="264"/>
      <c r="C210" s="569">
        <v>1</v>
      </c>
      <c r="D210" s="658">
        <v>3.03</v>
      </c>
      <c r="E210" s="658">
        <v>2.4</v>
      </c>
      <c r="F210" s="57">
        <v>0.1</v>
      </c>
      <c r="G210" s="629">
        <f t="shared" si="7"/>
        <v>0.72719999999999996</v>
      </c>
      <c r="H210" s="166"/>
      <c r="K210" s="165"/>
      <c r="L210" s="165"/>
      <c r="M210" s="165"/>
    </row>
    <row r="211" spans="1:13" s="164" customFormat="1">
      <c r="A211" s="249"/>
      <c r="B211" s="264"/>
      <c r="C211" s="569">
        <v>1</v>
      </c>
      <c r="D211" s="658">
        <v>3.73</v>
      </c>
      <c r="E211" s="658">
        <v>2.4</v>
      </c>
      <c r="F211" s="57">
        <v>0.1</v>
      </c>
      <c r="G211" s="629">
        <f t="shared" si="7"/>
        <v>0.8952</v>
      </c>
      <c r="H211" s="166"/>
      <c r="K211" s="165"/>
      <c r="L211" s="165"/>
      <c r="M211" s="165"/>
    </row>
    <row r="212" spans="1:13" s="164" customFormat="1">
      <c r="A212" s="249"/>
      <c r="B212" s="264"/>
      <c r="C212" s="569">
        <v>4</v>
      </c>
      <c r="D212" s="658">
        <v>4.78</v>
      </c>
      <c r="E212" s="658">
        <v>3.52</v>
      </c>
      <c r="F212" s="57">
        <v>0.1</v>
      </c>
      <c r="G212" s="629">
        <f t="shared" si="7"/>
        <v>6.7302400000000011</v>
      </c>
      <c r="H212" s="166"/>
      <c r="K212" s="165"/>
      <c r="L212" s="165"/>
      <c r="M212" s="165"/>
    </row>
    <row r="213" spans="1:13" s="164" customFormat="1">
      <c r="A213" s="249"/>
      <c r="B213" s="264"/>
      <c r="C213" s="569">
        <v>2</v>
      </c>
      <c r="D213" s="658">
        <v>4.78</v>
      </c>
      <c r="E213" s="658">
        <v>3.395</v>
      </c>
      <c r="F213" s="57">
        <v>0.1</v>
      </c>
      <c r="G213" s="629">
        <f t="shared" si="7"/>
        <v>3.2456200000000006</v>
      </c>
      <c r="H213" s="166"/>
      <c r="K213" s="165"/>
      <c r="L213" s="165"/>
      <c r="M213" s="165"/>
    </row>
    <row r="214" spans="1:13" s="164" customFormat="1">
      <c r="A214" s="249"/>
      <c r="B214" s="264"/>
      <c r="C214" s="569">
        <v>4</v>
      </c>
      <c r="D214" s="658">
        <v>2.4</v>
      </c>
      <c r="E214" s="658">
        <v>3.52</v>
      </c>
      <c r="F214" s="57">
        <v>0.1</v>
      </c>
      <c r="G214" s="629">
        <f t="shared" si="7"/>
        <v>3.3792000000000004</v>
      </c>
      <c r="H214" s="166"/>
      <c r="K214" s="165"/>
      <c r="L214" s="165"/>
      <c r="M214" s="165"/>
    </row>
    <row r="215" spans="1:13" s="164" customFormat="1">
      <c r="A215" s="249"/>
      <c r="B215" s="264"/>
      <c r="C215" s="569">
        <v>2</v>
      </c>
      <c r="D215" s="658">
        <v>2.4</v>
      </c>
      <c r="E215" s="658">
        <v>3.395</v>
      </c>
      <c r="F215" s="57">
        <v>0.1</v>
      </c>
      <c r="G215" s="629">
        <f t="shared" si="7"/>
        <v>1.6296000000000002</v>
      </c>
      <c r="H215" s="166"/>
      <c r="K215" s="165"/>
      <c r="L215" s="165"/>
      <c r="M215" s="165"/>
    </row>
    <row r="216" spans="1:13" s="164" customFormat="1">
      <c r="A216" s="249"/>
      <c r="B216" s="264"/>
      <c r="C216" s="569">
        <v>4</v>
      </c>
      <c r="D216" s="658">
        <v>5.03</v>
      </c>
      <c r="E216" s="658">
        <v>3.52</v>
      </c>
      <c r="F216" s="57">
        <v>0.1</v>
      </c>
      <c r="G216" s="629">
        <f t="shared" si="7"/>
        <v>7.0822400000000014</v>
      </c>
      <c r="H216" s="166"/>
      <c r="K216" s="165"/>
      <c r="L216" s="165"/>
      <c r="M216" s="165"/>
    </row>
    <row r="217" spans="1:13" s="164" customFormat="1">
      <c r="A217" s="249"/>
      <c r="B217" s="264"/>
      <c r="C217" s="569">
        <v>2</v>
      </c>
      <c r="D217" s="658">
        <v>5.03</v>
      </c>
      <c r="E217" s="658">
        <v>3.395</v>
      </c>
      <c r="F217" s="57">
        <v>0.1</v>
      </c>
      <c r="G217" s="629">
        <f t="shared" si="7"/>
        <v>3.4153700000000002</v>
      </c>
      <c r="H217" s="166"/>
      <c r="K217" s="165"/>
      <c r="L217" s="165"/>
      <c r="M217" s="165"/>
    </row>
    <row r="218" spans="1:13" s="164" customFormat="1">
      <c r="A218" s="249"/>
      <c r="B218" s="264"/>
      <c r="C218" s="569">
        <v>2</v>
      </c>
      <c r="D218" s="658">
        <v>7.68</v>
      </c>
      <c r="E218" s="658">
        <v>3.55</v>
      </c>
      <c r="F218" s="57">
        <v>0.1</v>
      </c>
      <c r="G218" s="629">
        <f t="shared" si="7"/>
        <v>5.4527999999999999</v>
      </c>
      <c r="H218" s="166"/>
      <c r="K218" s="165"/>
      <c r="L218" s="165"/>
      <c r="M218" s="165"/>
    </row>
    <row r="219" spans="1:13" s="164" customFormat="1">
      <c r="A219" s="249"/>
      <c r="B219" s="264"/>
      <c r="C219" s="569">
        <v>2</v>
      </c>
      <c r="D219" s="658">
        <v>4.4050000000000002</v>
      </c>
      <c r="E219" s="658">
        <v>2.4</v>
      </c>
      <c r="F219" s="57">
        <v>0.1</v>
      </c>
      <c r="G219" s="629">
        <f t="shared" si="7"/>
        <v>2.1143999999999998</v>
      </c>
      <c r="H219" s="166"/>
      <c r="K219" s="165"/>
      <c r="L219" s="165"/>
      <c r="M219" s="165"/>
    </row>
    <row r="220" spans="1:13" s="164" customFormat="1">
      <c r="A220" s="249"/>
      <c r="B220" s="264"/>
      <c r="C220" s="569">
        <v>1</v>
      </c>
      <c r="D220" s="658">
        <v>3.42</v>
      </c>
      <c r="E220" s="658">
        <v>2.4</v>
      </c>
      <c r="F220" s="57">
        <v>0.1</v>
      </c>
      <c r="G220" s="629">
        <f t="shared" si="7"/>
        <v>0.82079999999999997</v>
      </c>
      <c r="H220" s="166"/>
      <c r="K220" s="165"/>
      <c r="L220" s="165"/>
      <c r="M220" s="165"/>
    </row>
    <row r="221" spans="1:13" s="164" customFormat="1">
      <c r="A221" s="249"/>
      <c r="B221" s="264"/>
      <c r="C221" s="569">
        <v>1</v>
      </c>
      <c r="D221" s="658">
        <v>4.5</v>
      </c>
      <c r="E221" s="658">
        <v>2.4</v>
      </c>
      <c r="F221" s="57">
        <v>0.1</v>
      </c>
      <c r="G221" s="629">
        <f t="shared" si="7"/>
        <v>1.08</v>
      </c>
      <c r="H221" s="166"/>
      <c r="K221" s="165"/>
      <c r="L221" s="165"/>
      <c r="M221" s="165"/>
    </row>
    <row r="222" spans="1:13" s="164" customFormat="1">
      <c r="A222" s="249"/>
      <c r="B222" s="264"/>
      <c r="C222" s="569">
        <v>1</v>
      </c>
      <c r="D222" s="658">
        <v>3.6949999999999998</v>
      </c>
      <c r="E222" s="658">
        <v>2.4</v>
      </c>
      <c r="F222" s="57">
        <v>0.1</v>
      </c>
      <c r="G222" s="629">
        <f t="shared" si="7"/>
        <v>0.88679999999999992</v>
      </c>
      <c r="H222" s="166"/>
      <c r="K222" s="165"/>
      <c r="L222" s="165"/>
      <c r="M222" s="165"/>
    </row>
    <row r="223" spans="1:13" s="164" customFormat="1">
      <c r="A223" s="249"/>
      <c r="B223" s="264"/>
      <c r="C223" s="569">
        <v>4</v>
      </c>
      <c r="D223" s="658">
        <v>3.52</v>
      </c>
      <c r="E223" s="658">
        <v>4.78</v>
      </c>
      <c r="F223" s="57">
        <v>0.1</v>
      </c>
      <c r="G223" s="629">
        <f t="shared" si="7"/>
        <v>6.7302400000000002</v>
      </c>
      <c r="H223" s="166"/>
      <c r="K223" s="165"/>
      <c r="L223" s="165"/>
      <c r="M223" s="165"/>
    </row>
    <row r="224" spans="1:13" s="164" customFormat="1">
      <c r="A224" s="249"/>
      <c r="B224" s="264"/>
      <c r="C224" s="569">
        <v>2</v>
      </c>
      <c r="D224" s="658">
        <v>3.395</v>
      </c>
      <c r="E224" s="658">
        <v>4.78</v>
      </c>
      <c r="F224" s="57">
        <v>0.1</v>
      </c>
      <c r="G224" s="629">
        <f t="shared" si="7"/>
        <v>3.2456200000000002</v>
      </c>
      <c r="H224" s="166"/>
      <c r="K224" s="165"/>
      <c r="L224" s="165"/>
      <c r="M224" s="165"/>
    </row>
    <row r="225" spans="1:18" s="164" customFormat="1">
      <c r="A225" s="249"/>
      <c r="B225" s="264"/>
      <c r="C225" s="569">
        <v>1</v>
      </c>
      <c r="D225" s="658">
        <v>3.42</v>
      </c>
      <c r="E225" s="658">
        <v>2.4900000000000002</v>
      </c>
      <c r="F225" s="57">
        <v>0.1</v>
      </c>
      <c r="G225" s="629">
        <f t="shared" si="7"/>
        <v>0.85158000000000011</v>
      </c>
      <c r="H225" s="166"/>
      <c r="K225" s="165"/>
      <c r="L225" s="165"/>
      <c r="M225" s="165"/>
    </row>
    <row r="226" spans="1:18" s="164" customFormat="1">
      <c r="A226" s="249"/>
      <c r="B226" s="264"/>
      <c r="C226" s="569">
        <v>1</v>
      </c>
      <c r="D226" s="658">
        <v>1.2849999999999999</v>
      </c>
      <c r="E226" s="658">
        <v>2.04</v>
      </c>
      <c r="F226" s="57">
        <v>0.1</v>
      </c>
      <c r="G226" s="629">
        <f t="shared" si="7"/>
        <v>0.26213999999999998</v>
      </c>
      <c r="H226" s="166"/>
      <c r="K226" s="165"/>
      <c r="L226" s="165"/>
      <c r="M226" s="165"/>
    </row>
    <row r="227" spans="1:18" s="164" customFormat="1">
      <c r="A227" s="249"/>
      <c r="B227" s="264"/>
      <c r="C227" s="569">
        <v>1</v>
      </c>
      <c r="D227" s="658">
        <v>1.88</v>
      </c>
      <c r="E227" s="658">
        <v>2.04</v>
      </c>
      <c r="F227" s="57">
        <v>0.1</v>
      </c>
      <c r="G227" s="629">
        <f t="shared" si="7"/>
        <v>0.38352000000000003</v>
      </c>
      <c r="H227" s="166"/>
      <c r="K227" s="165"/>
      <c r="L227" s="165"/>
      <c r="M227" s="165"/>
    </row>
    <row r="228" spans="1:18" s="164" customFormat="1">
      <c r="A228" s="249"/>
      <c r="B228" s="264"/>
      <c r="C228" s="569">
        <v>1</v>
      </c>
      <c r="D228" s="658">
        <v>4.5</v>
      </c>
      <c r="E228" s="658">
        <v>2.72</v>
      </c>
      <c r="F228" s="57">
        <v>0.1</v>
      </c>
      <c r="G228" s="629">
        <f t="shared" si="7"/>
        <v>1.2240000000000002</v>
      </c>
      <c r="H228" s="166"/>
      <c r="K228" s="165"/>
      <c r="L228" s="165"/>
      <c r="M228" s="165"/>
    </row>
    <row r="229" spans="1:18" s="164" customFormat="1">
      <c r="A229" s="249"/>
      <c r="B229" s="264"/>
      <c r="C229" s="569">
        <v>1</v>
      </c>
      <c r="D229" s="658">
        <v>4.5</v>
      </c>
      <c r="E229" s="658">
        <v>1.81</v>
      </c>
      <c r="F229" s="57">
        <v>0.1</v>
      </c>
      <c r="G229" s="629">
        <f t="shared" si="7"/>
        <v>0.81450000000000011</v>
      </c>
      <c r="H229" s="166"/>
      <c r="K229" s="165"/>
      <c r="L229" s="165"/>
      <c r="M229" s="165"/>
    </row>
    <row r="230" spans="1:18" s="164" customFormat="1">
      <c r="A230" s="249"/>
      <c r="B230" s="264"/>
      <c r="C230" s="569">
        <v>1</v>
      </c>
      <c r="D230" s="658">
        <v>3.6949999999999998</v>
      </c>
      <c r="E230" s="658">
        <v>4.78</v>
      </c>
      <c r="F230" s="57">
        <v>0.1</v>
      </c>
      <c r="G230" s="629">
        <f t="shared" si="7"/>
        <v>1.7662100000000001</v>
      </c>
      <c r="H230" s="166"/>
      <c r="K230" s="165"/>
      <c r="L230" s="165"/>
      <c r="M230" s="165"/>
    </row>
    <row r="231" spans="1:18" s="164" customFormat="1">
      <c r="A231" s="249"/>
      <c r="B231" s="264"/>
      <c r="C231" s="569">
        <v>1</v>
      </c>
      <c r="D231" s="658">
        <v>7.58</v>
      </c>
      <c r="E231" s="658">
        <v>3.14</v>
      </c>
      <c r="F231" s="57">
        <v>0.1</v>
      </c>
      <c r="G231" s="657">
        <f t="shared" si="7"/>
        <v>2.3801200000000002</v>
      </c>
      <c r="H231" s="166"/>
      <c r="K231" s="165"/>
      <c r="L231" s="165"/>
      <c r="M231" s="165"/>
    </row>
    <row r="232" spans="1:18" s="164" customFormat="1">
      <c r="A232" s="249"/>
      <c r="B232" s="264"/>
      <c r="C232" s="569"/>
      <c r="D232" s="658"/>
      <c r="E232" s="658"/>
      <c r="F232" s="57"/>
      <c r="G232" s="629">
        <f>SUM(G144:G231)</f>
        <v>151.87679234976</v>
      </c>
      <c r="H232" s="166"/>
      <c r="K232" s="165"/>
      <c r="L232" s="165"/>
      <c r="M232" s="165"/>
    </row>
    <row r="233" spans="1:18" s="164" customFormat="1">
      <c r="A233" s="249"/>
      <c r="B233" s="264"/>
      <c r="C233" s="569"/>
      <c r="D233" s="658"/>
      <c r="E233" s="658"/>
      <c r="F233" s="57"/>
      <c r="G233" s="656">
        <f>G232*10%</f>
        <v>15.187679234976001</v>
      </c>
      <c r="H233" s="503"/>
      <c r="K233" s="165"/>
      <c r="L233" s="165"/>
      <c r="M233" s="165"/>
    </row>
    <row r="234" spans="1:18" s="164" customFormat="1" ht="15">
      <c r="A234" s="249"/>
      <c r="B234" s="547"/>
      <c r="C234" s="587"/>
      <c r="D234" s="100"/>
      <c r="E234" s="100"/>
      <c r="F234" s="100"/>
      <c r="G234" s="551">
        <f>G233+G232</f>
        <v>167.064471584736</v>
      </c>
      <c r="H234" s="642" t="s">
        <v>25</v>
      </c>
      <c r="K234" s="165"/>
      <c r="L234" s="165"/>
      <c r="M234" s="165"/>
    </row>
    <row r="235" spans="1:18" s="164" customFormat="1" ht="15">
      <c r="A235" s="249"/>
      <c r="B235" s="547"/>
      <c r="C235" s="587"/>
      <c r="D235" s="100"/>
      <c r="E235" s="100"/>
      <c r="F235" s="100"/>
      <c r="G235" s="412"/>
      <c r="H235" s="166"/>
      <c r="K235" s="165"/>
      <c r="L235" s="165"/>
      <c r="M235" s="165"/>
    </row>
    <row r="236" spans="1:18" s="149" customFormat="1" ht="15">
      <c r="A236" s="135">
        <v>4</v>
      </c>
      <c r="B236" s="564" t="s">
        <v>1159</v>
      </c>
      <c r="C236" s="121"/>
      <c r="D236" s="121"/>
      <c r="E236" s="121"/>
      <c r="F236" s="121"/>
      <c r="G236" s="498"/>
      <c r="H236" s="430"/>
      <c r="I236" s="164"/>
      <c r="J236" s="164"/>
      <c r="K236" s="165"/>
      <c r="L236" s="165"/>
      <c r="M236" s="165"/>
      <c r="N236" s="164"/>
      <c r="O236" s="164"/>
      <c r="P236" s="164"/>
      <c r="Q236" s="164"/>
      <c r="R236" s="164"/>
    </row>
    <row r="237" spans="1:18" s="149" customFormat="1" ht="15">
      <c r="A237" s="135" t="s">
        <v>424</v>
      </c>
      <c r="B237" s="565" t="s">
        <v>486</v>
      </c>
      <c r="C237" s="121"/>
      <c r="D237" s="121"/>
      <c r="E237" s="121"/>
      <c r="F237" s="121"/>
      <c r="G237" s="498"/>
      <c r="H237" s="430"/>
      <c r="I237" s="164"/>
      <c r="J237" s="164"/>
      <c r="K237" s="165"/>
      <c r="L237" s="165"/>
      <c r="M237" s="165"/>
      <c r="N237" s="164"/>
      <c r="O237" s="164"/>
      <c r="P237" s="164"/>
      <c r="Q237" s="164"/>
      <c r="R237" s="164"/>
    </row>
    <row r="238" spans="1:18" s="149" customFormat="1" ht="15">
      <c r="A238" s="135" t="s">
        <v>475</v>
      </c>
      <c r="B238" s="566" t="s">
        <v>1243</v>
      </c>
      <c r="H238" s="430"/>
      <c r="I238" s="164"/>
      <c r="J238" s="164"/>
      <c r="K238" s="165"/>
      <c r="L238" s="165"/>
      <c r="M238" s="165"/>
      <c r="N238" s="164"/>
      <c r="O238" s="164"/>
      <c r="P238" s="164"/>
      <c r="Q238" s="164"/>
      <c r="R238" s="164"/>
    </row>
    <row r="239" spans="1:18" s="149" customFormat="1" ht="15">
      <c r="A239" s="135"/>
      <c r="B239" s="568" t="s">
        <v>1299</v>
      </c>
      <c r="C239" s="569">
        <v>41</v>
      </c>
      <c r="D239" s="619">
        <v>1.65</v>
      </c>
      <c r="E239" s="619">
        <v>1.65</v>
      </c>
      <c r="F239" s="57">
        <v>0.4</v>
      </c>
      <c r="G239" s="412">
        <f>F239*E239*D239*C239</f>
        <v>44.649000000000001</v>
      </c>
      <c r="H239" s="430"/>
      <c r="I239" s="164"/>
      <c r="J239" s="164"/>
      <c r="K239" s="165"/>
      <c r="L239" s="165"/>
      <c r="M239" s="165"/>
      <c r="N239" s="164"/>
      <c r="O239" s="164"/>
      <c r="P239" s="164"/>
      <c r="Q239" s="164"/>
      <c r="R239" s="164"/>
    </row>
    <row r="240" spans="1:18" s="149" customFormat="1" ht="15">
      <c r="A240" s="135"/>
      <c r="B240" s="568" t="s">
        <v>1300</v>
      </c>
      <c r="C240" s="569">
        <v>37</v>
      </c>
      <c r="D240" s="619">
        <v>1.8</v>
      </c>
      <c r="E240" s="619">
        <v>1.8</v>
      </c>
      <c r="F240" s="57">
        <v>0.4</v>
      </c>
      <c r="G240" s="412">
        <f>F240*E240*D240*C240</f>
        <v>47.952000000000012</v>
      </c>
      <c r="H240" s="430"/>
      <c r="I240" s="164"/>
      <c r="J240" s="164"/>
      <c r="K240" s="165"/>
      <c r="L240" s="165"/>
      <c r="M240" s="165"/>
      <c r="N240" s="164"/>
      <c r="O240" s="164"/>
      <c r="P240" s="164"/>
      <c r="Q240" s="164"/>
      <c r="R240" s="164"/>
    </row>
    <row r="241" spans="1:18" s="149" customFormat="1" ht="15">
      <c r="A241" s="135"/>
      <c r="B241" s="568" t="s">
        <v>1301</v>
      </c>
      <c r="C241" s="569">
        <v>7</v>
      </c>
      <c r="D241" s="619">
        <v>1.35</v>
      </c>
      <c r="E241" s="619">
        <v>1.35</v>
      </c>
      <c r="F241" s="57">
        <v>0.4</v>
      </c>
      <c r="G241" s="412">
        <f>F241*E241*D241*C241</f>
        <v>5.1030000000000006</v>
      </c>
      <c r="H241" s="430"/>
      <c r="I241" s="164"/>
      <c r="J241" s="164"/>
      <c r="K241" s="165"/>
      <c r="L241" s="165"/>
      <c r="M241" s="165"/>
      <c r="N241" s="164"/>
      <c r="O241" s="164"/>
      <c r="P241" s="164"/>
      <c r="Q241" s="164"/>
      <c r="R241" s="164"/>
    </row>
    <row r="242" spans="1:18" s="164" customFormat="1" ht="15">
      <c r="A242" s="249"/>
      <c r="B242" s="568" t="s">
        <v>1378</v>
      </c>
      <c r="C242" s="569">
        <v>4</v>
      </c>
      <c r="D242" s="619">
        <v>3.125</v>
      </c>
      <c r="E242" s="619">
        <v>1.9750000000000001</v>
      </c>
      <c r="F242" s="57">
        <v>0.4</v>
      </c>
      <c r="G242" s="412">
        <f>F242*E242*D242*C242</f>
        <v>9.875</v>
      </c>
      <c r="H242" s="166"/>
      <c r="K242" s="165"/>
      <c r="L242" s="165"/>
      <c r="M242" s="165"/>
    </row>
    <row r="243" spans="1:18" s="164" customFormat="1" ht="15">
      <c r="A243" s="249"/>
      <c r="B243" s="568" t="s">
        <v>1379</v>
      </c>
      <c r="C243" s="569">
        <v>4</v>
      </c>
      <c r="D243" s="1278">
        <f>5373698.3889/1000000</f>
        <v>5.3736983888999994</v>
      </c>
      <c r="E243" s="1278"/>
      <c r="F243" s="57">
        <v>0.4</v>
      </c>
      <c r="G243" s="412">
        <f>F243*D243*C243</f>
        <v>8.5979174222400001</v>
      </c>
      <c r="H243" s="166"/>
      <c r="K243" s="165"/>
      <c r="L243" s="165"/>
      <c r="M243" s="165"/>
    </row>
    <row r="244" spans="1:18" s="164" customFormat="1" ht="15">
      <c r="A244" s="249"/>
      <c r="B244" s="568" t="s">
        <v>1380</v>
      </c>
      <c r="C244" s="569">
        <v>4</v>
      </c>
      <c r="D244" s="619">
        <v>2.0499999999999998</v>
      </c>
      <c r="E244" s="619">
        <v>3.3</v>
      </c>
      <c r="F244" s="57">
        <v>0.4</v>
      </c>
      <c r="G244" s="556">
        <f>F244*E244*D244*C244</f>
        <v>10.824</v>
      </c>
      <c r="H244" s="166"/>
      <c r="K244" s="165"/>
      <c r="L244" s="165"/>
      <c r="M244" s="165"/>
    </row>
    <row r="245" spans="1:18" s="164" customFormat="1" ht="15">
      <c r="A245" s="249"/>
      <c r="B245" s="568"/>
      <c r="C245" s="569"/>
      <c r="D245" s="619"/>
      <c r="E245" s="619"/>
      <c r="F245" s="557"/>
      <c r="G245" s="412">
        <f>SUM(G239:G244)</f>
        <v>127.00091742224001</v>
      </c>
      <c r="H245" s="166"/>
      <c r="K245" s="165"/>
      <c r="L245" s="165"/>
      <c r="M245" s="165"/>
    </row>
    <row r="246" spans="1:18" s="164" customFormat="1" ht="15">
      <c r="A246" s="249"/>
      <c r="B246" s="568"/>
      <c r="C246" s="569"/>
      <c r="D246" s="619"/>
      <c r="E246" s="619"/>
      <c r="F246" s="557"/>
      <c r="G246" s="656">
        <f>G245*10%</f>
        <v>12.700091742224002</v>
      </c>
      <c r="H246" s="503"/>
      <c r="K246" s="165"/>
      <c r="L246" s="165"/>
      <c r="M246" s="165"/>
    </row>
    <row r="247" spans="1:18" s="149" customFormat="1" ht="15">
      <c r="A247" s="135"/>
      <c r="B247" s="566"/>
      <c r="C247" s="567"/>
      <c r="D247" s="57"/>
      <c r="E247" s="57"/>
      <c r="F247" s="57"/>
      <c r="G247" s="551">
        <f>G246+G245</f>
        <v>139.70100916446401</v>
      </c>
      <c r="H247" s="642" t="s">
        <v>25</v>
      </c>
      <c r="I247" s="164"/>
      <c r="J247" s="164"/>
      <c r="K247" s="165"/>
      <c r="L247" s="165"/>
      <c r="M247" s="165"/>
      <c r="N247" s="164"/>
      <c r="O247" s="164"/>
      <c r="P247" s="164"/>
      <c r="Q247" s="164"/>
      <c r="R247" s="164"/>
    </row>
    <row r="248" spans="1:18" s="149" customFormat="1" ht="15">
      <c r="A248" s="135"/>
      <c r="B248" s="566"/>
      <c r="C248" s="567"/>
      <c r="D248" s="4"/>
      <c r="E248" s="4"/>
      <c r="F248" s="4"/>
      <c r="G248" s="412"/>
      <c r="H248" s="430"/>
      <c r="I248" s="164"/>
      <c r="J248" s="164"/>
      <c r="K248" s="165"/>
      <c r="L248" s="165"/>
      <c r="M248" s="165"/>
      <c r="N248" s="164"/>
      <c r="O248" s="164"/>
      <c r="P248" s="164"/>
      <c r="Q248" s="164"/>
      <c r="R248" s="164"/>
    </row>
    <row r="249" spans="1:18" s="149" customFormat="1" ht="15">
      <c r="A249" s="135"/>
      <c r="B249" s="240" t="s">
        <v>1244</v>
      </c>
      <c r="C249" s="4"/>
      <c r="D249" s="4"/>
      <c r="E249" s="4"/>
      <c r="F249" s="4"/>
      <c r="G249" s="412"/>
      <c r="H249" s="430"/>
      <c r="I249" s="164"/>
      <c r="J249" s="164"/>
      <c r="K249" s="165"/>
      <c r="L249" s="165"/>
      <c r="M249" s="165"/>
      <c r="N249" s="164"/>
      <c r="O249" s="164"/>
      <c r="P249" s="164"/>
      <c r="Q249" s="164"/>
      <c r="R249" s="164"/>
    </row>
    <row r="250" spans="1:18" s="149" customFormat="1" ht="15">
      <c r="A250" s="135"/>
      <c r="B250" s="660" t="s">
        <v>608</v>
      </c>
      <c r="C250" s="567">
        <v>82</v>
      </c>
      <c r="D250" s="567">
        <f>0.25+0.3</f>
        <v>0.55000000000000004</v>
      </c>
      <c r="E250" s="4">
        <f>0.4+0.3</f>
        <v>0.7</v>
      </c>
      <c r="F250" s="4">
        <v>0.4</v>
      </c>
      <c r="G250" s="412">
        <f>F250*E250*D250*C250</f>
        <v>12.628</v>
      </c>
      <c r="H250" s="430"/>
      <c r="I250" s="164"/>
      <c r="J250" s="164"/>
      <c r="K250" s="165"/>
      <c r="L250" s="165"/>
      <c r="M250" s="165"/>
      <c r="N250" s="164"/>
      <c r="O250" s="164"/>
      <c r="P250" s="164"/>
      <c r="Q250" s="164"/>
      <c r="R250" s="164"/>
    </row>
    <row r="251" spans="1:18" s="149" customFormat="1" ht="15">
      <c r="A251" s="135"/>
      <c r="B251" s="660" t="s">
        <v>1220</v>
      </c>
      <c r="C251" s="567">
        <v>18</v>
      </c>
      <c r="D251" s="567">
        <f>0.25+0.3</f>
        <v>0.55000000000000004</v>
      </c>
      <c r="E251" s="4">
        <v>0.7</v>
      </c>
      <c r="F251" s="4">
        <v>0.4</v>
      </c>
      <c r="G251" s="412">
        <f>F251*E251*D251*C251</f>
        <v>2.7719999999999998</v>
      </c>
      <c r="H251" s="430"/>
      <c r="I251" s="164"/>
      <c r="J251" s="164"/>
      <c r="K251" s="165"/>
      <c r="L251" s="165"/>
      <c r="M251" s="165"/>
      <c r="N251" s="164"/>
      <c r="O251" s="164"/>
      <c r="P251" s="164"/>
      <c r="Q251" s="164"/>
      <c r="R251" s="164"/>
    </row>
    <row r="252" spans="1:18" s="149" customFormat="1" ht="15">
      <c r="A252" s="135"/>
      <c r="B252" s="660" t="s">
        <v>1298</v>
      </c>
      <c r="C252" s="567">
        <v>9</v>
      </c>
      <c r="D252" s="567">
        <f>0.25+0.3</f>
        <v>0.55000000000000004</v>
      </c>
      <c r="E252" s="4">
        <f>0.35+0.3</f>
        <v>0.64999999999999991</v>
      </c>
      <c r="F252" s="4">
        <v>0.4</v>
      </c>
      <c r="G252" s="412">
        <f>F252*E252*D252*C252</f>
        <v>1.2869999999999999</v>
      </c>
      <c r="H252" s="430"/>
      <c r="I252" s="164"/>
      <c r="J252" s="164"/>
      <c r="K252" s="165"/>
      <c r="L252" s="165"/>
      <c r="M252" s="165"/>
      <c r="N252" s="164"/>
      <c r="O252" s="164"/>
      <c r="P252" s="164"/>
      <c r="Q252" s="164"/>
      <c r="R252" s="164"/>
    </row>
    <row r="253" spans="1:18" s="164" customFormat="1" ht="15">
      <c r="A253" s="249"/>
      <c r="B253" s="660" t="s">
        <v>1356</v>
      </c>
      <c r="C253" s="567">
        <v>2</v>
      </c>
      <c r="D253" s="567">
        <f>0.25+0.3</f>
        <v>0.55000000000000004</v>
      </c>
      <c r="E253" s="4">
        <v>0.7</v>
      </c>
      <c r="F253" s="4">
        <v>0.4</v>
      </c>
      <c r="G253" s="556">
        <f>F253*E253*D253*C253</f>
        <v>0.308</v>
      </c>
      <c r="H253" s="166"/>
      <c r="K253" s="165"/>
      <c r="L253" s="165"/>
      <c r="M253" s="165"/>
    </row>
    <row r="254" spans="1:18" s="164" customFormat="1" ht="15">
      <c r="A254" s="249"/>
      <c r="B254" s="660"/>
      <c r="C254" s="567"/>
      <c r="D254" s="567"/>
      <c r="E254" s="4"/>
      <c r="F254" s="4"/>
      <c r="G254" s="412">
        <f>SUM(G250:G253)</f>
        <v>16.995000000000001</v>
      </c>
      <c r="H254" s="166"/>
      <c r="K254" s="165"/>
      <c r="L254" s="165"/>
      <c r="M254" s="165"/>
    </row>
    <row r="255" spans="1:18" s="164" customFormat="1" ht="15">
      <c r="A255" s="249"/>
      <c r="B255" s="660"/>
      <c r="C255" s="567"/>
      <c r="D255" s="567"/>
      <c r="E255" s="4"/>
      <c r="F255" s="4"/>
      <c r="G255" s="656">
        <f>G254*10%</f>
        <v>1.6995000000000002</v>
      </c>
      <c r="H255" s="503"/>
      <c r="K255" s="165"/>
      <c r="L255" s="165"/>
      <c r="M255" s="165"/>
    </row>
    <row r="256" spans="1:18" s="149" customFormat="1" ht="15">
      <c r="A256" s="135"/>
      <c r="B256" s="568"/>
      <c r="C256" s="121"/>
      <c r="D256" s="121"/>
      <c r="E256" s="121"/>
      <c r="F256" s="121"/>
      <c r="G256" s="551">
        <f>G255+G254</f>
        <v>18.694500000000001</v>
      </c>
      <c r="H256" s="642" t="s">
        <v>25</v>
      </c>
      <c r="I256" s="164"/>
      <c r="J256" s="164"/>
      <c r="K256" s="165"/>
      <c r="L256" s="165"/>
      <c r="M256" s="165"/>
      <c r="N256" s="164"/>
      <c r="O256" s="164"/>
      <c r="P256" s="164"/>
      <c r="Q256" s="164"/>
      <c r="R256" s="164"/>
    </row>
    <row r="257" spans="1:18" s="149" customFormat="1" ht="15">
      <c r="A257" s="135" t="s">
        <v>476</v>
      </c>
      <c r="B257" s="240" t="s">
        <v>1221</v>
      </c>
      <c r="C257" s="240"/>
      <c r="D257" s="571"/>
      <c r="E257" s="121"/>
      <c r="F257" s="121"/>
      <c r="G257" s="498"/>
      <c r="I257" s="164"/>
      <c r="J257" s="164"/>
      <c r="K257" s="165"/>
      <c r="L257" s="165"/>
      <c r="M257" s="165"/>
      <c r="N257" s="164"/>
      <c r="O257" s="164"/>
      <c r="P257" s="164"/>
      <c r="Q257" s="164"/>
      <c r="R257" s="164"/>
    </row>
    <row r="258" spans="1:18" s="149" customFormat="1" ht="15">
      <c r="A258" s="135"/>
      <c r="B258" s="660" t="s">
        <v>608</v>
      </c>
      <c r="C258" s="567">
        <v>82</v>
      </c>
      <c r="D258" s="567">
        <v>0.25</v>
      </c>
      <c r="E258" s="4">
        <v>0.4</v>
      </c>
      <c r="F258" s="4">
        <v>1.2</v>
      </c>
      <c r="G258" s="412">
        <f>F258*E258*D258*C258</f>
        <v>9.84</v>
      </c>
      <c r="I258" s="164"/>
      <c r="J258" s="164"/>
      <c r="K258" s="1270"/>
      <c r="L258" s="1251"/>
      <c r="M258" s="1251"/>
      <c r="N258" s="164"/>
      <c r="O258" s="164"/>
      <c r="P258" s="164"/>
      <c r="Q258" s="164"/>
      <c r="R258" s="164"/>
    </row>
    <row r="259" spans="1:18" s="149" customFormat="1" ht="15">
      <c r="A259" s="135"/>
      <c r="B259" s="660" t="s">
        <v>1220</v>
      </c>
      <c r="C259" s="567">
        <v>18</v>
      </c>
      <c r="D259" s="567">
        <v>0.25</v>
      </c>
      <c r="E259" s="4">
        <v>0.4</v>
      </c>
      <c r="F259" s="4">
        <v>1.2</v>
      </c>
      <c r="G259" s="412">
        <f>F259*E259*D259*C259</f>
        <v>2.16</v>
      </c>
      <c r="I259" s="164"/>
      <c r="J259" s="164"/>
      <c r="K259" s="100"/>
      <c r="L259" s="165"/>
      <c r="M259" s="165"/>
      <c r="N259" s="164"/>
      <c r="O259" s="164"/>
      <c r="P259" s="164"/>
      <c r="Q259" s="164"/>
      <c r="R259" s="164"/>
    </row>
    <row r="260" spans="1:18" s="149" customFormat="1" ht="15">
      <c r="A260" s="135"/>
      <c r="B260" s="660" t="s">
        <v>1298</v>
      </c>
      <c r="C260" s="567">
        <v>9</v>
      </c>
      <c r="D260" s="567">
        <v>0.25</v>
      </c>
      <c r="E260" s="4">
        <v>0.35</v>
      </c>
      <c r="F260" s="4">
        <v>1.2</v>
      </c>
      <c r="G260" s="412">
        <f>F260*E260*D260*C260</f>
        <v>0.94499999999999995</v>
      </c>
      <c r="I260" s="164"/>
      <c r="J260" s="164"/>
      <c r="K260" s="100"/>
      <c r="L260" s="165"/>
      <c r="M260" s="165"/>
      <c r="N260" s="164"/>
      <c r="O260" s="164"/>
      <c r="P260" s="164"/>
      <c r="Q260" s="164"/>
      <c r="R260" s="164"/>
    </row>
    <row r="261" spans="1:18" s="149" customFormat="1" ht="15">
      <c r="A261" s="135"/>
      <c r="B261" s="660" t="s">
        <v>1356</v>
      </c>
      <c r="C261" s="567">
        <v>2</v>
      </c>
      <c r="D261" s="567">
        <v>0.25</v>
      </c>
      <c r="E261" s="4">
        <v>0.4</v>
      </c>
      <c r="F261" s="4">
        <v>1.2</v>
      </c>
      <c r="G261" s="556">
        <f>F261*E261*D261*C261</f>
        <v>0.24</v>
      </c>
      <c r="I261" s="164"/>
      <c r="J261" s="164"/>
      <c r="K261" s="100"/>
      <c r="L261" s="165"/>
      <c r="M261" s="165"/>
      <c r="N261" s="164"/>
      <c r="O261" s="164"/>
      <c r="P261" s="164"/>
      <c r="Q261" s="164"/>
      <c r="R261" s="164"/>
    </row>
    <row r="262" spans="1:18" s="149" customFormat="1" ht="15">
      <c r="A262" s="135"/>
      <c r="B262" s="660"/>
      <c r="C262" s="567"/>
      <c r="D262" s="567"/>
      <c r="E262" s="4"/>
      <c r="F262" s="4"/>
      <c r="G262" s="412">
        <f>SUM(G258:G261)</f>
        <v>13.185</v>
      </c>
      <c r="I262" s="164"/>
      <c r="J262" s="164"/>
      <c r="K262" s="100"/>
      <c r="L262" s="165"/>
      <c r="M262" s="165"/>
      <c r="N262" s="164"/>
      <c r="O262" s="164"/>
      <c r="P262" s="164"/>
      <c r="Q262" s="164"/>
      <c r="R262" s="164"/>
    </row>
    <row r="263" spans="1:18" s="149" customFormat="1" ht="15">
      <c r="A263" s="135"/>
      <c r="B263" s="660"/>
      <c r="C263" s="567"/>
      <c r="D263" s="567"/>
      <c r="E263" s="4"/>
      <c r="F263" s="4"/>
      <c r="G263" s="656">
        <f>G262*10%</f>
        <v>1.3185000000000002</v>
      </c>
      <c r="H263" s="503"/>
      <c r="I263" s="164"/>
      <c r="J263" s="164"/>
      <c r="K263" s="100"/>
      <c r="L263" s="165"/>
      <c r="M263" s="165"/>
      <c r="N263" s="164"/>
      <c r="O263" s="164"/>
      <c r="P263" s="164"/>
      <c r="Q263" s="164"/>
      <c r="R263" s="164"/>
    </row>
    <row r="264" spans="1:18" s="149" customFormat="1">
      <c r="A264" s="135"/>
      <c r="B264" s="20"/>
      <c r="C264" s="186"/>
      <c r="D264" s="186"/>
      <c r="E264" s="186"/>
      <c r="F264" s="186"/>
      <c r="G264" s="551">
        <f>G263+G262</f>
        <v>14.503500000000001</v>
      </c>
      <c r="H264" s="642" t="s">
        <v>25</v>
      </c>
      <c r="I264" s="164"/>
      <c r="J264" s="164"/>
      <c r="K264" s="100"/>
      <c r="L264" s="165"/>
      <c r="M264" s="165"/>
      <c r="N264" s="164"/>
      <c r="O264" s="164"/>
      <c r="P264" s="164"/>
      <c r="Q264" s="164"/>
      <c r="R264" s="164"/>
    </row>
    <row r="265" spans="1:18" s="149" customFormat="1">
      <c r="I265" s="164"/>
      <c r="J265" s="164"/>
      <c r="K265" s="165"/>
      <c r="L265" s="165"/>
      <c r="M265" s="165"/>
      <c r="N265" s="164"/>
      <c r="O265" s="164"/>
      <c r="P265" s="164"/>
      <c r="Q265" s="164"/>
      <c r="R265" s="164"/>
    </row>
    <row r="266" spans="1:18" s="149" customFormat="1" ht="15">
      <c r="A266" s="135" t="s">
        <v>477</v>
      </c>
      <c r="B266" s="566" t="s">
        <v>624</v>
      </c>
      <c r="C266" s="121">
        <v>7</v>
      </c>
      <c r="D266" s="120">
        <v>5.7450000000000001</v>
      </c>
      <c r="E266" s="658">
        <v>0.25</v>
      </c>
      <c r="F266" s="658">
        <v>0.4</v>
      </c>
      <c r="G266" s="595">
        <f>F266*E266*D266*C266</f>
        <v>4.0214999999999996</v>
      </c>
      <c r="H266" s="516"/>
      <c r="I266" s="164"/>
      <c r="J266" s="164"/>
      <c r="K266" s="165"/>
      <c r="L266" s="165"/>
      <c r="M266" s="165"/>
      <c r="N266" s="164"/>
      <c r="O266" s="164"/>
      <c r="P266" s="164"/>
      <c r="Q266" s="164"/>
      <c r="R266" s="164"/>
    </row>
    <row r="267" spans="1:18" s="149" customFormat="1" ht="15">
      <c r="A267" s="135"/>
      <c r="B267" s="566"/>
      <c r="C267" s="121">
        <v>2</v>
      </c>
      <c r="D267" s="120">
        <v>5.3449999999999998</v>
      </c>
      <c r="E267" s="658">
        <v>0.25</v>
      </c>
      <c r="F267" s="658">
        <v>0.4</v>
      </c>
      <c r="G267" s="595">
        <f t="shared" ref="G267:G318" si="9">F267*E267*D267*C267</f>
        <v>1.069</v>
      </c>
      <c r="H267" s="516"/>
      <c r="I267" s="164"/>
      <c r="J267" s="164"/>
      <c r="K267" s="165"/>
      <c r="L267" s="165"/>
      <c r="M267" s="165"/>
      <c r="N267" s="164"/>
      <c r="O267" s="164"/>
      <c r="P267" s="164"/>
      <c r="Q267" s="164"/>
      <c r="R267" s="164"/>
    </row>
    <row r="268" spans="1:18" s="149" customFormat="1" ht="15">
      <c r="A268" s="135"/>
      <c r="B268" s="566"/>
      <c r="C268" s="121">
        <v>1</v>
      </c>
      <c r="D268" s="120">
        <v>5.34</v>
      </c>
      <c r="E268" s="658">
        <v>0.25</v>
      </c>
      <c r="F268" s="658">
        <v>0.4</v>
      </c>
      <c r="G268" s="595">
        <f t="shared" si="9"/>
        <v>0.53400000000000003</v>
      </c>
      <c r="H268" s="516"/>
      <c r="I268" s="164"/>
      <c r="J268" s="164"/>
      <c r="K268" s="165"/>
      <c r="L268" s="165"/>
      <c r="M268" s="165"/>
      <c r="N268" s="164"/>
      <c r="O268" s="164"/>
      <c r="P268" s="164"/>
      <c r="Q268" s="164"/>
      <c r="R268" s="164"/>
    </row>
    <row r="269" spans="1:18" s="149" customFormat="1" ht="15">
      <c r="A269" s="135"/>
      <c r="B269" s="566"/>
      <c r="C269" s="121">
        <v>1</v>
      </c>
      <c r="D269" s="120">
        <v>5.5350000000000001</v>
      </c>
      <c r="E269" s="658">
        <v>0.25</v>
      </c>
      <c r="F269" s="658">
        <v>0.4</v>
      </c>
      <c r="G269" s="595">
        <f t="shared" si="9"/>
        <v>0.55349999999999999</v>
      </c>
      <c r="H269" s="516"/>
      <c r="I269" s="164"/>
      <c r="J269" s="164"/>
      <c r="K269" s="165"/>
      <c r="L269" s="165"/>
      <c r="M269" s="165"/>
      <c r="N269" s="164"/>
      <c r="O269" s="164"/>
      <c r="P269" s="164"/>
      <c r="Q269" s="164"/>
      <c r="R269" s="164"/>
    </row>
    <row r="270" spans="1:18" s="149" customFormat="1" ht="15">
      <c r="A270" s="135"/>
      <c r="B270" s="566"/>
      <c r="C270" s="121">
        <v>1</v>
      </c>
      <c r="D270" s="120">
        <v>4.5350000000000001</v>
      </c>
      <c r="E270" s="658">
        <v>0.25</v>
      </c>
      <c r="F270" s="658">
        <v>0.4</v>
      </c>
      <c r="G270" s="595">
        <f t="shared" si="9"/>
        <v>0.45350000000000001</v>
      </c>
      <c r="H270" s="516"/>
      <c r="I270" s="164"/>
      <c r="J270" s="164"/>
      <c r="K270" s="165"/>
      <c r="L270" s="165"/>
      <c r="M270" s="165"/>
      <c r="N270" s="164"/>
      <c r="O270" s="164"/>
      <c r="P270" s="164"/>
      <c r="Q270" s="164"/>
      <c r="R270" s="164"/>
    </row>
    <row r="271" spans="1:18" s="149" customFormat="1" ht="15">
      <c r="A271" s="135"/>
      <c r="B271" s="566"/>
      <c r="C271" s="121">
        <v>12</v>
      </c>
      <c r="D271" s="120">
        <v>4.4800000000000004</v>
      </c>
      <c r="E271" s="658">
        <v>0.25</v>
      </c>
      <c r="F271" s="658">
        <v>0.4</v>
      </c>
      <c r="G271" s="595">
        <f t="shared" si="9"/>
        <v>5.3760000000000012</v>
      </c>
      <c r="H271" s="516"/>
      <c r="I271" s="164"/>
      <c r="J271" s="164"/>
      <c r="K271" s="165"/>
      <c r="L271" s="165"/>
      <c r="M271" s="165"/>
      <c r="N271" s="164"/>
      <c r="O271" s="164"/>
      <c r="P271" s="164"/>
      <c r="Q271" s="164"/>
      <c r="R271" s="164"/>
    </row>
    <row r="272" spans="1:18" s="149" customFormat="1" ht="15">
      <c r="A272" s="135"/>
      <c r="B272" s="566"/>
      <c r="C272" s="121">
        <v>16</v>
      </c>
      <c r="D272" s="120">
        <v>3.5150000000000001</v>
      </c>
      <c r="E272" s="658">
        <v>0.25</v>
      </c>
      <c r="F272" s="658">
        <v>0.4</v>
      </c>
      <c r="G272" s="595">
        <f t="shared" si="9"/>
        <v>5.6240000000000006</v>
      </c>
      <c r="H272" s="516"/>
      <c r="I272" s="164"/>
      <c r="J272" s="164"/>
      <c r="K272" s="165"/>
      <c r="L272" s="165"/>
      <c r="M272" s="165"/>
      <c r="N272" s="164"/>
      <c r="O272" s="164"/>
      <c r="P272" s="164"/>
      <c r="Q272" s="164"/>
      <c r="R272" s="164"/>
    </row>
    <row r="273" spans="1:18" s="149" customFormat="1" ht="15">
      <c r="A273" s="135"/>
      <c r="B273" s="566"/>
      <c r="C273" s="121">
        <v>8</v>
      </c>
      <c r="D273" s="120">
        <v>3.64</v>
      </c>
      <c r="E273" s="658">
        <v>0.25</v>
      </c>
      <c r="F273" s="658">
        <v>0.4</v>
      </c>
      <c r="G273" s="595">
        <f t="shared" si="9"/>
        <v>2.9120000000000004</v>
      </c>
      <c r="H273" s="516"/>
      <c r="I273" s="164"/>
      <c r="J273" s="164"/>
      <c r="K273" s="165"/>
      <c r="L273" s="165"/>
      <c r="M273" s="165"/>
      <c r="N273" s="164"/>
      <c r="O273" s="164"/>
      <c r="P273" s="164"/>
      <c r="Q273" s="164"/>
      <c r="R273" s="164"/>
    </row>
    <row r="274" spans="1:18" s="149" customFormat="1" ht="15">
      <c r="A274" s="135"/>
      <c r="B274" s="566"/>
      <c r="C274" s="121">
        <v>8</v>
      </c>
      <c r="D274" s="120">
        <v>3.54</v>
      </c>
      <c r="E274" s="658">
        <v>0.25</v>
      </c>
      <c r="F274" s="658">
        <v>0.4</v>
      </c>
      <c r="G274" s="595">
        <f t="shared" si="9"/>
        <v>2.8320000000000003</v>
      </c>
      <c r="H274" s="516"/>
      <c r="I274" s="164"/>
      <c r="J274" s="164"/>
      <c r="K274" s="165"/>
      <c r="L274" s="165"/>
      <c r="M274" s="165"/>
      <c r="N274" s="164"/>
      <c r="O274" s="164"/>
      <c r="P274" s="164"/>
      <c r="Q274" s="164"/>
      <c r="R274" s="164"/>
    </row>
    <row r="275" spans="1:18" s="149" customFormat="1" ht="15">
      <c r="A275" s="135"/>
      <c r="B275" s="566"/>
      <c r="C275" s="121">
        <v>16</v>
      </c>
      <c r="D275" s="120">
        <v>1.36</v>
      </c>
      <c r="E275" s="658">
        <v>0.25</v>
      </c>
      <c r="F275" s="658">
        <v>0.4</v>
      </c>
      <c r="G275" s="595">
        <f t="shared" si="9"/>
        <v>2.1760000000000002</v>
      </c>
      <c r="H275" s="516"/>
      <c r="I275" s="164"/>
      <c r="J275" s="164"/>
      <c r="K275" s="165"/>
      <c r="L275" s="165"/>
      <c r="M275" s="165"/>
      <c r="N275" s="164"/>
      <c r="O275" s="164"/>
      <c r="P275" s="164"/>
      <c r="Q275" s="164"/>
      <c r="R275" s="164"/>
    </row>
    <row r="276" spans="1:18" s="149" customFormat="1" ht="15">
      <c r="A276" s="135"/>
      <c r="B276" s="566"/>
      <c r="C276" s="121">
        <v>8</v>
      </c>
      <c r="D276" s="120">
        <v>1.4650000000000001</v>
      </c>
      <c r="E276" s="658">
        <v>0.25</v>
      </c>
      <c r="F276" s="658">
        <v>0.4</v>
      </c>
      <c r="G276" s="595">
        <f t="shared" si="9"/>
        <v>1.1720000000000002</v>
      </c>
      <c r="H276" s="516"/>
      <c r="I276" s="164"/>
      <c r="J276" s="164"/>
      <c r="K276" s="165"/>
      <c r="L276" s="165"/>
      <c r="M276" s="165"/>
      <c r="N276" s="164"/>
      <c r="O276" s="164"/>
      <c r="P276" s="164"/>
      <c r="Q276" s="164"/>
      <c r="R276" s="164"/>
    </row>
    <row r="277" spans="1:18" s="149" customFormat="1" ht="15">
      <c r="A277" s="135"/>
      <c r="B277" s="566"/>
      <c r="C277" s="121">
        <v>4</v>
      </c>
      <c r="D277" s="120">
        <v>1.1499999999999999</v>
      </c>
      <c r="E277" s="658">
        <v>0.25</v>
      </c>
      <c r="F277" s="658">
        <v>0.4</v>
      </c>
      <c r="G277" s="595">
        <f t="shared" si="9"/>
        <v>0.45999999999999996</v>
      </c>
      <c r="H277" s="516"/>
      <c r="I277" s="164"/>
      <c r="J277" s="164"/>
      <c r="K277" s="165"/>
      <c r="L277" s="165"/>
      <c r="M277" s="165"/>
      <c r="N277" s="164"/>
      <c r="O277" s="164"/>
      <c r="P277" s="164"/>
      <c r="Q277" s="164"/>
      <c r="R277" s="164"/>
    </row>
    <row r="278" spans="1:18" s="149" customFormat="1" ht="15">
      <c r="A278" s="135"/>
      <c r="B278" s="566"/>
      <c r="C278" s="121">
        <v>4</v>
      </c>
      <c r="D278" s="120">
        <v>3.6949999999999998</v>
      </c>
      <c r="E278" s="658">
        <v>0.25</v>
      </c>
      <c r="F278" s="658">
        <v>0.4</v>
      </c>
      <c r="G278" s="595">
        <f t="shared" si="9"/>
        <v>1.478</v>
      </c>
      <c r="H278" s="516"/>
      <c r="I278" s="164"/>
      <c r="J278" s="164"/>
      <c r="K278" s="165"/>
      <c r="L278" s="165"/>
      <c r="M278" s="165"/>
      <c r="N278" s="164"/>
      <c r="O278" s="164"/>
      <c r="P278" s="164"/>
      <c r="Q278" s="164"/>
      <c r="R278" s="164"/>
    </row>
    <row r="279" spans="1:18" s="149" customFormat="1" ht="15">
      <c r="A279" s="135"/>
      <c r="B279" s="566"/>
      <c r="C279" s="121">
        <v>1</v>
      </c>
      <c r="D279" s="120">
        <v>2.52</v>
      </c>
      <c r="E279" s="658">
        <v>0.25</v>
      </c>
      <c r="F279" s="658">
        <v>0.4</v>
      </c>
      <c r="G279" s="595">
        <f t="shared" si="9"/>
        <v>0.252</v>
      </c>
      <c r="H279" s="516"/>
      <c r="I279" s="164"/>
      <c r="J279" s="164"/>
      <c r="K279" s="165"/>
      <c r="L279" s="165"/>
      <c r="M279" s="165"/>
      <c r="N279" s="164"/>
      <c r="O279" s="164"/>
      <c r="P279" s="164"/>
      <c r="Q279" s="164"/>
      <c r="R279" s="164"/>
    </row>
    <row r="280" spans="1:18" s="149" customFormat="1" ht="15">
      <c r="A280" s="135"/>
      <c r="B280" s="566"/>
      <c r="C280" s="121">
        <v>4</v>
      </c>
      <c r="D280" s="120">
        <v>3.2650000000000001</v>
      </c>
      <c r="E280" s="658">
        <v>0.25</v>
      </c>
      <c r="F280" s="658">
        <v>0.4</v>
      </c>
      <c r="G280" s="595">
        <f t="shared" si="9"/>
        <v>1.306</v>
      </c>
      <c r="H280" s="516"/>
      <c r="I280" s="164"/>
      <c r="J280" s="164"/>
      <c r="K280" s="165"/>
      <c r="L280" s="165"/>
      <c r="M280" s="165"/>
      <c r="N280" s="164"/>
      <c r="O280" s="164"/>
      <c r="P280" s="164"/>
      <c r="Q280" s="164"/>
      <c r="R280" s="164"/>
    </row>
    <row r="281" spans="1:18" s="149" customFormat="1" ht="15">
      <c r="A281" s="135"/>
      <c r="B281" s="566"/>
      <c r="C281" s="121">
        <v>2</v>
      </c>
      <c r="D281" s="120">
        <v>3.04</v>
      </c>
      <c r="E281" s="658">
        <v>0.25</v>
      </c>
      <c r="F281" s="658">
        <v>0.4</v>
      </c>
      <c r="G281" s="595">
        <f t="shared" si="9"/>
        <v>0.6080000000000001</v>
      </c>
      <c r="H281" s="516"/>
      <c r="I281" s="164"/>
      <c r="J281" s="164"/>
      <c r="K281" s="165"/>
      <c r="L281" s="165"/>
      <c r="M281" s="165"/>
      <c r="N281" s="164"/>
      <c r="O281" s="164"/>
      <c r="P281" s="164"/>
      <c r="Q281" s="164"/>
      <c r="R281" s="164"/>
    </row>
    <row r="282" spans="1:18" s="149" customFormat="1" ht="15">
      <c r="A282" s="135"/>
      <c r="B282" s="566"/>
      <c r="C282" s="121">
        <v>2</v>
      </c>
      <c r="D282" s="120">
        <v>2.93</v>
      </c>
      <c r="E282" s="658">
        <v>0.25</v>
      </c>
      <c r="F282" s="658">
        <v>0.4</v>
      </c>
      <c r="G282" s="595">
        <f t="shared" si="9"/>
        <v>0.58600000000000008</v>
      </c>
      <c r="H282" s="516"/>
      <c r="I282" s="164"/>
      <c r="J282" s="164"/>
      <c r="K282" s="165"/>
      <c r="L282" s="165"/>
      <c r="M282" s="165"/>
      <c r="N282" s="164"/>
      <c r="O282" s="164"/>
      <c r="P282" s="164"/>
      <c r="Q282" s="164"/>
      <c r="R282" s="164"/>
    </row>
    <row r="283" spans="1:18" s="149" customFormat="1" ht="15">
      <c r="A283" s="135"/>
      <c r="B283" s="566"/>
      <c r="C283" s="121">
        <v>2</v>
      </c>
      <c r="D283" s="120">
        <v>1.72</v>
      </c>
      <c r="E283" s="658">
        <v>0.25</v>
      </c>
      <c r="F283" s="658">
        <v>0.4</v>
      </c>
      <c r="G283" s="595">
        <f t="shared" si="9"/>
        <v>0.34400000000000003</v>
      </c>
      <c r="H283" s="516"/>
      <c r="I283" s="164"/>
      <c r="J283" s="164"/>
      <c r="K283" s="165"/>
      <c r="L283" s="165"/>
      <c r="M283" s="165"/>
      <c r="N283" s="164"/>
      <c r="O283" s="164"/>
      <c r="P283" s="164"/>
      <c r="Q283" s="164"/>
      <c r="R283" s="164"/>
    </row>
    <row r="284" spans="1:18" s="149" customFormat="1" ht="15">
      <c r="A284" s="135"/>
      <c r="B284" s="566"/>
      <c r="C284" s="121">
        <v>2</v>
      </c>
      <c r="D284" s="120">
        <v>2.355</v>
      </c>
      <c r="E284" s="658">
        <v>0.25</v>
      </c>
      <c r="F284" s="658">
        <v>0.4</v>
      </c>
      <c r="G284" s="595">
        <f t="shared" si="9"/>
        <v>0.47100000000000003</v>
      </c>
      <c r="H284" s="516"/>
      <c r="I284" s="164"/>
      <c r="J284" s="164"/>
      <c r="K284" s="165"/>
      <c r="L284" s="165"/>
      <c r="M284" s="165"/>
      <c r="N284" s="164"/>
      <c r="O284" s="164"/>
      <c r="P284" s="164"/>
      <c r="Q284" s="164"/>
      <c r="R284" s="164"/>
    </row>
    <row r="285" spans="1:18" s="149" customFormat="1" ht="15">
      <c r="A285" s="135"/>
      <c r="B285" s="566"/>
      <c r="C285" s="121">
        <v>4</v>
      </c>
      <c r="D285" s="120">
        <v>2.83</v>
      </c>
      <c r="E285" s="658">
        <v>0.25</v>
      </c>
      <c r="F285" s="658">
        <v>0.4</v>
      </c>
      <c r="G285" s="595">
        <f t="shared" si="9"/>
        <v>1.1320000000000001</v>
      </c>
      <c r="H285" s="516"/>
      <c r="I285" s="164"/>
      <c r="J285" s="164"/>
      <c r="K285" s="165"/>
      <c r="L285" s="165"/>
      <c r="M285" s="165"/>
      <c r="N285" s="164"/>
      <c r="O285" s="164"/>
      <c r="P285" s="164"/>
      <c r="Q285" s="164"/>
      <c r="R285" s="164"/>
    </row>
    <row r="286" spans="1:18" s="149" customFormat="1" ht="15">
      <c r="A286" s="135"/>
      <c r="B286" s="568"/>
      <c r="C286" s="121">
        <v>2</v>
      </c>
      <c r="D286" s="120">
        <v>2.93</v>
      </c>
      <c r="E286" s="658">
        <v>0.25</v>
      </c>
      <c r="F286" s="658">
        <v>0.4</v>
      </c>
      <c r="G286" s="595">
        <f t="shared" si="9"/>
        <v>0.58600000000000008</v>
      </c>
      <c r="H286" s="516"/>
      <c r="I286" s="164"/>
      <c r="J286" s="164"/>
      <c r="K286" s="165"/>
      <c r="L286" s="165"/>
      <c r="M286" s="165"/>
      <c r="N286" s="164"/>
      <c r="O286" s="164"/>
      <c r="P286" s="164"/>
      <c r="Q286" s="164"/>
      <c r="R286" s="164"/>
    </row>
    <row r="287" spans="1:18" s="149" customFormat="1" ht="15">
      <c r="A287" s="135"/>
      <c r="B287" s="566"/>
      <c r="C287" s="121">
        <v>2</v>
      </c>
      <c r="D287" s="120">
        <v>1.8</v>
      </c>
      <c r="E287" s="658">
        <v>0.25</v>
      </c>
      <c r="F287" s="658">
        <v>0.4</v>
      </c>
      <c r="G287" s="595">
        <f t="shared" si="9"/>
        <v>0.36000000000000004</v>
      </c>
      <c r="H287" s="516"/>
      <c r="I287" s="164"/>
      <c r="J287" s="164"/>
      <c r="K287" s="165"/>
      <c r="L287" s="165"/>
      <c r="M287" s="165"/>
      <c r="N287" s="164"/>
      <c r="O287" s="164"/>
      <c r="P287" s="164"/>
      <c r="Q287" s="164"/>
      <c r="R287" s="164"/>
    </row>
    <row r="288" spans="1:18" s="149" customFormat="1" ht="15">
      <c r="A288" s="135"/>
      <c r="B288" s="566"/>
      <c r="C288" s="121">
        <v>4</v>
      </c>
      <c r="D288" s="120">
        <v>4.7300000000000004</v>
      </c>
      <c r="E288" s="658">
        <v>0.25</v>
      </c>
      <c r="F288" s="658">
        <v>0.4</v>
      </c>
      <c r="G288" s="595">
        <f t="shared" si="9"/>
        <v>1.8920000000000003</v>
      </c>
      <c r="H288" s="516"/>
      <c r="I288" s="164"/>
      <c r="J288" s="164"/>
      <c r="K288" s="165"/>
      <c r="L288" s="165"/>
      <c r="M288" s="165"/>
      <c r="N288" s="164"/>
      <c r="O288" s="164"/>
      <c r="P288" s="164"/>
      <c r="Q288" s="164"/>
      <c r="R288" s="164"/>
    </row>
    <row r="289" spans="1:18" s="149" customFormat="1" ht="15">
      <c r="A289" s="135"/>
      <c r="B289" s="566"/>
      <c r="C289" s="121">
        <v>4</v>
      </c>
      <c r="D289" s="120">
        <v>5.03</v>
      </c>
      <c r="E289" s="658">
        <v>0.25</v>
      </c>
      <c r="F289" s="658">
        <v>0.4</v>
      </c>
      <c r="G289" s="595">
        <f t="shared" si="9"/>
        <v>2.012</v>
      </c>
      <c r="H289" s="516"/>
      <c r="I289" s="164"/>
      <c r="J289" s="164"/>
      <c r="K289" s="165"/>
      <c r="L289" s="165"/>
      <c r="M289" s="165"/>
      <c r="N289" s="164"/>
      <c r="O289" s="164"/>
      <c r="P289" s="164"/>
      <c r="Q289" s="164"/>
      <c r="R289" s="164"/>
    </row>
    <row r="290" spans="1:18" s="149" customFormat="1" ht="15">
      <c r="A290" s="135"/>
      <c r="B290" s="566"/>
      <c r="C290" s="121">
        <v>4</v>
      </c>
      <c r="D290" s="120">
        <v>4.78</v>
      </c>
      <c r="E290" s="658">
        <v>0.25</v>
      </c>
      <c r="F290" s="658">
        <v>0.35</v>
      </c>
      <c r="G290" s="595">
        <f t="shared" si="9"/>
        <v>1.673</v>
      </c>
      <c r="H290" s="516"/>
      <c r="I290" s="164"/>
      <c r="J290" s="164"/>
      <c r="K290" s="165"/>
      <c r="L290" s="165"/>
      <c r="M290" s="165"/>
      <c r="N290" s="164"/>
      <c r="O290" s="164"/>
      <c r="P290" s="164"/>
      <c r="Q290" s="164"/>
      <c r="R290" s="164"/>
    </row>
    <row r="291" spans="1:18" s="149" customFormat="1" ht="15">
      <c r="A291" s="135"/>
      <c r="B291" s="566"/>
      <c r="C291" s="121">
        <v>8</v>
      </c>
      <c r="D291" s="120">
        <v>2.4</v>
      </c>
      <c r="E291" s="658">
        <v>0.25</v>
      </c>
      <c r="F291" s="658">
        <v>0.35</v>
      </c>
      <c r="G291" s="595">
        <f t="shared" si="9"/>
        <v>1.68</v>
      </c>
      <c r="H291" s="516"/>
      <c r="I291" s="164"/>
      <c r="J291" s="164"/>
      <c r="K291" s="165"/>
      <c r="L291" s="165"/>
      <c r="M291" s="165"/>
      <c r="N291" s="164"/>
      <c r="O291" s="164"/>
      <c r="P291" s="164"/>
      <c r="Q291" s="164"/>
      <c r="R291" s="164"/>
    </row>
    <row r="292" spans="1:18" s="149" customFormat="1" ht="15">
      <c r="A292" s="135"/>
      <c r="B292" s="566"/>
      <c r="C292" s="121">
        <v>12</v>
      </c>
      <c r="D292" s="120">
        <v>3.4449999999999998</v>
      </c>
      <c r="E292" s="658">
        <v>0.25</v>
      </c>
      <c r="F292" s="658">
        <v>0.35</v>
      </c>
      <c r="G292" s="595">
        <f t="shared" si="9"/>
        <v>3.6172499999999994</v>
      </c>
      <c r="H292" s="516"/>
      <c r="I292" s="164"/>
      <c r="J292" s="164"/>
      <c r="K292" s="165"/>
      <c r="L292" s="165"/>
      <c r="M292" s="165"/>
      <c r="N292" s="164"/>
      <c r="O292" s="164"/>
      <c r="P292" s="164"/>
      <c r="Q292" s="164"/>
      <c r="R292" s="164"/>
    </row>
    <row r="293" spans="1:18" s="149" customFormat="1" ht="15">
      <c r="A293" s="135"/>
      <c r="B293" s="566"/>
      <c r="C293" s="121">
        <v>6</v>
      </c>
      <c r="D293" s="120">
        <v>3.2450000000000001</v>
      </c>
      <c r="E293" s="658">
        <v>0.25</v>
      </c>
      <c r="F293" s="658">
        <v>0.35</v>
      </c>
      <c r="G293" s="595">
        <f t="shared" si="9"/>
        <v>1.7036250000000002</v>
      </c>
      <c r="H293" s="516"/>
      <c r="I293" s="164"/>
      <c r="J293" s="164"/>
      <c r="K293" s="165"/>
      <c r="L293" s="165"/>
      <c r="M293" s="165"/>
      <c r="N293" s="164"/>
      <c r="O293" s="164"/>
      <c r="P293" s="164"/>
      <c r="Q293" s="164"/>
      <c r="R293" s="164"/>
    </row>
    <row r="294" spans="1:18" s="149" customFormat="1" ht="15">
      <c r="A294" s="135"/>
      <c r="B294" s="566"/>
      <c r="C294" s="121">
        <v>2</v>
      </c>
      <c r="D294" s="120">
        <v>1.1499999999999999</v>
      </c>
      <c r="E294" s="658">
        <v>0.25</v>
      </c>
      <c r="F294" s="658">
        <v>0.35</v>
      </c>
      <c r="G294" s="595">
        <f t="shared" si="9"/>
        <v>0.20124999999999998</v>
      </c>
      <c r="H294" s="516"/>
      <c r="I294" s="164"/>
      <c r="J294" s="164"/>
      <c r="K294" s="165"/>
      <c r="L294" s="165"/>
      <c r="M294" s="165"/>
      <c r="N294" s="164"/>
      <c r="O294" s="164"/>
      <c r="P294" s="164"/>
      <c r="Q294" s="164"/>
      <c r="R294" s="164"/>
    </row>
    <row r="295" spans="1:18" s="149" customFormat="1" ht="15">
      <c r="A295" s="135"/>
      <c r="B295" s="566"/>
      <c r="C295" s="121">
        <v>8</v>
      </c>
      <c r="D295" s="120">
        <v>3.4449999999999998</v>
      </c>
      <c r="E295" s="658">
        <v>0.25</v>
      </c>
      <c r="F295" s="658">
        <v>0.35</v>
      </c>
      <c r="G295" s="595">
        <f t="shared" si="9"/>
        <v>2.4114999999999998</v>
      </c>
      <c r="H295" s="516"/>
      <c r="I295" s="164"/>
      <c r="J295" s="164"/>
      <c r="K295" s="165"/>
      <c r="L295" s="165"/>
      <c r="M295" s="165"/>
      <c r="N295" s="164"/>
      <c r="O295" s="164"/>
      <c r="P295" s="164"/>
      <c r="Q295" s="164"/>
      <c r="R295" s="164"/>
    </row>
    <row r="296" spans="1:18" s="149" customFormat="1" ht="15">
      <c r="A296" s="135"/>
      <c r="B296" s="566"/>
      <c r="C296" s="121">
        <v>4</v>
      </c>
      <c r="D296" s="120">
        <v>3.2450000000000001</v>
      </c>
      <c r="E296" s="658">
        <v>0.25</v>
      </c>
      <c r="F296" s="658">
        <v>0.35</v>
      </c>
      <c r="G296" s="595">
        <f t="shared" si="9"/>
        <v>1.13575</v>
      </c>
      <c r="H296" s="516"/>
      <c r="I296" s="164"/>
      <c r="J296" s="164"/>
      <c r="K296" s="165"/>
      <c r="L296" s="165"/>
      <c r="M296" s="165"/>
      <c r="N296" s="164"/>
      <c r="O296" s="164"/>
      <c r="P296" s="164"/>
      <c r="Q296" s="164"/>
      <c r="R296" s="164"/>
    </row>
    <row r="297" spans="1:18" s="149" customFormat="1" ht="15">
      <c r="A297" s="135"/>
      <c r="B297" s="566"/>
      <c r="C297" s="121">
        <v>2</v>
      </c>
      <c r="D297" s="120">
        <v>3.6949999999999998</v>
      </c>
      <c r="E297" s="658">
        <v>0.25</v>
      </c>
      <c r="F297" s="658">
        <v>0.35</v>
      </c>
      <c r="G297" s="595">
        <f t="shared" si="9"/>
        <v>0.64662499999999989</v>
      </c>
      <c r="H297" s="516"/>
      <c r="I297" s="164"/>
      <c r="J297" s="164"/>
      <c r="K297" s="165"/>
      <c r="L297" s="165"/>
      <c r="M297" s="165"/>
      <c r="N297" s="164"/>
      <c r="O297" s="164"/>
      <c r="P297" s="164"/>
      <c r="Q297" s="164"/>
      <c r="R297" s="164"/>
    </row>
    <row r="298" spans="1:18" s="149" customFormat="1" ht="15">
      <c r="A298" s="135"/>
      <c r="B298" s="566"/>
      <c r="C298" s="121">
        <v>2</v>
      </c>
      <c r="D298" s="120">
        <v>4.5</v>
      </c>
      <c r="E298" s="658">
        <v>0.25</v>
      </c>
      <c r="F298" s="658">
        <v>0.35</v>
      </c>
      <c r="G298" s="595">
        <f t="shared" si="9"/>
        <v>0.78749999999999998</v>
      </c>
      <c r="H298" s="516"/>
      <c r="I298" s="164"/>
      <c r="J298" s="164"/>
      <c r="K298" s="165"/>
      <c r="L298" s="165"/>
      <c r="M298" s="165"/>
      <c r="N298" s="164"/>
      <c r="O298" s="164"/>
      <c r="P298" s="164"/>
      <c r="Q298" s="164"/>
      <c r="R298" s="164"/>
    </row>
    <row r="299" spans="1:18" s="149" customFormat="1" ht="15">
      <c r="A299" s="135"/>
      <c r="B299" s="566"/>
      <c r="C299" s="121">
        <v>3</v>
      </c>
      <c r="D299" s="120">
        <v>3.42</v>
      </c>
      <c r="E299" s="658">
        <v>0.25</v>
      </c>
      <c r="F299" s="658">
        <v>0.35</v>
      </c>
      <c r="G299" s="595">
        <f t="shared" si="9"/>
        <v>0.89774999999999983</v>
      </c>
      <c r="H299" s="516"/>
      <c r="I299" s="164"/>
      <c r="J299" s="164"/>
      <c r="K299" s="165"/>
      <c r="L299" s="165"/>
      <c r="M299" s="165"/>
      <c r="N299" s="164"/>
      <c r="O299" s="164"/>
      <c r="P299" s="164"/>
      <c r="Q299" s="164"/>
      <c r="R299" s="164"/>
    </row>
    <row r="300" spans="1:18" s="149" customFormat="1" ht="15">
      <c r="A300" s="135"/>
      <c r="B300" s="566"/>
      <c r="C300" s="121">
        <v>1</v>
      </c>
      <c r="D300" s="120">
        <v>2.04</v>
      </c>
      <c r="E300" s="658">
        <v>0.25</v>
      </c>
      <c r="F300" s="658">
        <v>0.35</v>
      </c>
      <c r="G300" s="595">
        <f t="shared" si="9"/>
        <v>0.17849999999999999</v>
      </c>
      <c r="H300" s="516"/>
      <c r="I300" s="164"/>
      <c r="J300" s="164"/>
      <c r="K300" s="165"/>
      <c r="L300" s="165"/>
      <c r="M300" s="165"/>
      <c r="N300" s="164"/>
      <c r="O300" s="164"/>
      <c r="P300" s="164"/>
      <c r="Q300" s="164"/>
      <c r="R300" s="164"/>
    </row>
    <row r="301" spans="1:18" s="149" customFormat="1" ht="15">
      <c r="A301" s="135"/>
      <c r="B301" s="566"/>
      <c r="C301" s="121">
        <v>6</v>
      </c>
      <c r="D301" s="120">
        <v>4.4800000000000004</v>
      </c>
      <c r="E301" s="658">
        <v>0.25</v>
      </c>
      <c r="F301" s="658">
        <v>0.35</v>
      </c>
      <c r="G301" s="595">
        <f t="shared" si="9"/>
        <v>2.3520000000000003</v>
      </c>
      <c r="H301" s="516"/>
      <c r="I301" s="164"/>
      <c r="J301" s="164"/>
      <c r="K301" s="165"/>
      <c r="L301" s="165"/>
      <c r="M301" s="165"/>
      <c r="N301" s="164"/>
      <c r="O301" s="164"/>
      <c r="P301" s="164"/>
      <c r="Q301" s="164"/>
      <c r="R301" s="164"/>
    </row>
    <row r="302" spans="1:18" s="149" customFormat="1" ht="15">
      <c r="A302" s="135"/>
      <c r="B302" s="566"/>
      <c r="C302" s="121">
        <v>4</v>
      </c>
      <c r="D302" s="120">
        <v>4.78</v>
      </c>
      <c r="E302" s="658">
        <v>0.25</v>
      </c>
      <c r="F302" s="658">
        <v>0.35</v>
      </c>
      <c r="G302" s="595">
        <f t="shared" si="9"/>
        <v>1.673</v>
      </c>
      <c r="H302" s="516"/>
      <c r="I302" s="164"/>
      <c r="J302" s="164"/>
      <c r="K302" s="165"/>
      <c r="L302" s="165"/>
      <c r="M302" s="165"/>
      <c r="N302" s="164"/>
      <c r="O302" s="164"/>
      <c r="P302" s="164"/>
      <c r="Q302" s="164"/>
      <c r="R302" s="164"/>
    </row>
    <row r="303" spans="1:18" s="149" customFormat="1" ht="15">
      <c r="A303" s="135"/>
      <c r="B303" s="566"/>
      <c r="C303" s="121">
        <v>1</v>
      </c>
      <c r="D303" s="120">
        <v>4.63</v>
      </c>
      <c r="E303" s="658">
        <v>0.25</v>
      </c>
      <c r="F303" s="658">
        <v>0.35</v>
      </c>
      <c r="G303" s="595">
        <f t="shared" si="9"/>
        <v>0.40512499999999996</v>
      </c>
      <c r="H303" s="516"/>
      <c r="I303" s="164"/>
      <c r="J303" s="164"/>
      <c r="K303" s="165"/>
      <c r="L303" s="165"/>
      <c r="M303" s="165"/>
      <c r="N303" s="164"/>
      <c r="O303" s="164"/>
      <c r="P303" s="164"/>
      <c r="Q303" s="164"/>
      <c r="R303" s="164"/>
    </row>
    <row r="304" spans="1:18" s="149" customFormat="1" ht="15">
      <c r="A304" s="135"/>
      <c r="B304" s="566"/>
      <c r="C304" s="121">
        <v>2</v>
      </c>
      <c r="D304" s="120">
        <v>4.2</v>
      </c>
      <c r="E304" s="658">
        <v>0.25</v>
      </c>
      <c r="F304" s="658">
        <v>0.3</v>
      </c>
      <c r="G304" s="595">
        <f t="shared" si="9"/>
        <v>0.63</v>
      </c>
      <c r="H304" s="516"/>
      <c r="I304" s="164"/>
      <c r="J304" s="164"/>
      <c r="K304" s="165"/>
      <c r="L304" s="165"/>
      <c r="M304" s="165"/>
      <c r="N304" s="164"/>
      <c r="O304" s="164"/>
      <c r="P304" s="164"/>
      <c r="Q304" s="164"/>
      <c r="R304" s="164"/>
    </row>
    <row r="305" spans="1:18" s="149" customFormat="1" ht="15">
      <c r="A305" s="135"/>
      <c r="B305" s="566"/>
      <c r="C305" s="121">
        <v>11</v>
      </c>
      <c r="D305" s="120">
        <v>2.4</v>
      </c>
      <c r="E305" s="658">
        <v>0.25</v>
      </c>
      <c r="F305" s="658">
        <v>0.3</v>
      </c>
      <c r="G305" s="595">
        <f t="shared" si="9"/>
        <v>1.98</v>
      </c>
      <c r="H305" s="516"/>
      <c r="I305" s="164"/>
      <c r="J305" s="164"/>
      <c r="K305" s="165"/>
      <c r="L305" s="165"/>
      <c r="M305" s="165"/>
      <c r="N305" s="164"/>
      <c r="O305" s="164"/>
      <c r="P305" s="164"/>
      <c r="Q305" s="164"/>
      <c r="R305" s="164"/>
    </row>
    <row r="306" spans="1:18" s="149" customFormat="1" ht="15">
      <c r="A306" s="135"/>
      <c r="B306" s="566"/>
      <c r="C306" s="121">
        <v>2</v>
      </c>
      <c r="D306" s="120">
        <v>3.55</v>
      </c>
      <c r="E306" s="658">
        <v>0.25</v>
      </c>
      <c r="F306" s="658">
        <v>0.3</v>
      </c>
      <c r="G306" s="595">
        <f t="shared" si="9"/>
        <v>0.53249999999999997</v>
      </c>
      <c r="H306" s="516"/>
      <c r="I306" s="164"/>
      <c r="J306" s="164"/>
      <c r="K306" s="165"/>
      <c r="L306" s="165"/>
      <c r="M306" s="165"/>
      <c r="N306" s="164"/>
      <c r="O306" s="164"/>
      <c r="P306" s="164"/>
      <c r="Q306" s="164"/>
      <c r="R306" s="164"/>
    </row>
    <row r="307" spans="1:18" s="149" customFormat="1" ht="15">
      <c r="A307" s="135"/>
      <c r="B307" s="566"/>
      <c r="C307" s="121">
        <v>1</v>
      </c>
      <c r="D307" s="120">
        <v>4.2149999999999999</v>
      </c>
      <c r="E307" s="658">
        <v>0.25</v>
      </c>
      <c r="F307" s="658">
        <v>0.3</v>
      </c>
      <c r="G307" s="595">
        <f t="shared" si="9"/>
        <v>0.31612499999999999</v>
      </c>
      <c r="H307" s="516"/>
      <c r="I307" s="164"/>
      <c r="J307" s="164"/>
      <c r="K307" s="165"/>
      <c r="L307" s="165"/>
      <c r="M307" s="165"/>
      <c r="N307" s="164"/>
      <c r="O307" s="164"/>
      <c r="P307" s="164"/>
      <c r="Q307" s="164"/>
      <c r="R307" s="164"/>
    </row>
    <row r="308" spans="1:18" s="149" customFormat="1" ht="15">
      <c r="A308" s="135"/>
      <c r="B308" s="566"/>
      <c r="C308" s="121">
        <v>1</v>
      </c>
      <c r="D308" s="120">
        <v>3.2650000000000001</v>
      </c>
      <c r="E308" s="658">
        <v>0.25</v>
      </c>
      <c r="F308" s="658">
        <v>0.3</v>
      </c>
      <c r="G308" s="595">
        <f t="shared" si="9"/>
        <v>0.24487500000000001</v>
      </c>
      <c r="H308" s="516"/>
      <c r="I308" s="164"/>
      <c r="J308" s="164"/>
      <c r="K308" s="165"/>
      <c r="L308" s="165"/>
      <c r="M308" s="165"/>
      <c r="N308" s="164"/>
      <c r="O308" s="164"/>
      <c r="P308" s="164"/>
      <c r="Q308" s="164"/>
      <c r="R308" s="164"/>
    </row>
    <row r="309" spans="1:18" s="149" customFormat="1" ht="15">
      <c r="A309" s="135"/>
      <c r="B309" s="566"/>
      <c r="C309" s="121">
        <v>1</v>
      </c>
      <c r="D309" s="120">
        <v>2.98</v>
      </c>
      <c r="E309" s="658">
        <v>0.25</v>
      </c>
      <c r="F309" s="658">
        <v>0.3</v>
      </c>
      <c r="G309" s="595">
        <f t="shared" si="9"/>
        <v>0.2235</v>
      </c>
      <c r="H309" s="516"/>
      <c r="I309" s="164"/>
      <c r="J309" s="164"/>
      <c r="K309" s="165"/>
      <c r="L309" s="165"/>
      <c r="M309" s="165"/>
      <c r="N309" s="164"/>
      <c r="O309" s="164"/>
      <c r="P309" s="164"/>
      <c r="Q309" s="164"/>
      <c r="R309" s="164"/>
    </row>
    <row r="310" spans="1:18" s="149" customFormat="1" ht="15">
      <c r="A310" s="135"/>
      <c r="B310" s="566"/>
      <c r="C310" s="121">
        <v>1</v>
      </c>
      <c r="D310" s="120">
        <v>2.5049999999999999</v>
      </c>
      <c r="E310" s="658">
        <v>0.25</v>
      </c>
      <c r="F310" s="658">
        <v>0.3</v>
      </c>
      <c r="G310" s="595">
        <f t="shared" si="9"/>
        <v>0.18787499999999999</v>
      </c>
      <c r="H310" s="516"/>
      <c r="I310" s="164"/>
      <c r="J310" s="164"/>
      <c r="K310" s="165"/>
      <c r="L310" s="165"/>
      <c r="M310" s="165"/>
      <c r="N310" s="164"/>
      <c r="O310" s="164"/>
      <c r="P310" s="164"/>
      <c r="Q310" s="164"/>
      <c r="R310" s="164"/>
    </row>
    <row r="311" spans="1:18" s="149" customFormat="1" ht="15">
      <c r="A311" s="135"/>
      <c r="B311" s="566"/>
      <c r="C311" s="121">
        <v>1</v>
      </c>
      <c r="D311" s="120">
        <v>2.93</v>
      </c>
      <c r="E311" s="658">
        <v>0.25</v>
      </c>
      <c r="F311" s="658">
        <v>0.3</v>
      </c>
      <c r="G311" s="595">
        <f t="shared" si="9"/>
        <v>0.21975</v>
      </c>
      <c r="H311" s="516"/>
      <c r="I311" s="164"/>
      <c r="J311" s="164"/>
      <c r="K311" s="165"/>
      <c r="L311" s="165"/>
      <c r="M311" s="165"/>
      <c r="N311" s="164"/>
      <c r="O311" s="164"/>
      <c r="P311" s="164"/>
      <c r="Q311" s="164"/>
      <c r="R311" s="164"/>
    </row>
    <row r="312" spans="1:18" s="149" customFormat="1" ht="15">
      <c r="A312" s="135"/>
      <c r="B312" s="566"/>
      <c r="C312" s="121">
        <v>1</v>
      </c>
      <c r="D312" s="120">
        <v>3.68</v>
      </c>
      <c r="E312" s="658">
        <v>0.25</v>
      </c>
      <c r="F312" s="658">
        <v>0.3</v>
      </c>
      <c r="G312" s="595">
        <f t="shared" si="9"/>
        <v>0.27600000000000002</v>
      </c>
      <c r="H312" s="516"/>
      <c r="I312" s="164"/>
      <c r="J312" s="164"/>
      <c r="K312" s="165"/>
      <c r="L312" s="165"/>
      <c r="M312" s="165"/>
      <c r="N312" s="164"/>
      <c r="O312" s="164"/>
      <c r="P312" s="164"/>
      <c r="Q312" s="164"/>
      <c r="R312" s="164"/>
    </row>
    <row r="313" spans="1:18" s="149" customFormat="1" ht="15">
      <c r="A313" s="135"/>
      <c r="B313" s="566"/>
      <c r="C313" s="121">
        <v>4</v>
      </c>
      <c r="D313" s="120">
        <v>3.4449999999999998</v>
      </c>
      <c r="E313" s="658">
        <v>0.25</v>
      </c>
      <c r="F313" s="658">
        <v>0.3</v>
      </c>
      <c r="G313" s="595">
        <f t="shared" si="9"/>
        <v>1.0334999999999999</v>
      </c>
      <c r="H313" s="516"/>
      <c r="I313" s="164"/>
      <c r="J313" s="164"/>
      <c r="K313" s="165"/>
      <c r="L313" s="165"/>
      <c r="M313" s="165"/>
      <c r="N313" s="164"/>
      <c r="O313" s="164"/>
      <c r="P313" s="164"/>
      <c r="Q313" s="164"/>
      <c r="R313" s="164"/>
    </row>
    <row r="314" spans="1:18" s="149" customFormat="1" ht="15">
      <c r="A314" s="135"/>
      <c r="B314" s="566"/>
      <c r="C314" s="121">
        <v>2</v>
      </c>
      <c r="D314" s="120">
        <v>3.2450000000000001</v>
      </c>
      <c r="E314" s="658">
        <v>0.25</v>
      </c>
      <c r="F314" s="658">
        <v>0.3</v>
      </c>
      <c r="G314" s="595">
        <f t="shared" si="9"/>
        <v>0.48675000000000002</v>
      </c>
      <c r="H314" s="516"/>
      <c r="I314" s="164"/>
      <c r="J314" s="164"/>
      <c r="K314" s="165"/>
      <c r="L314" s="165"/>
      <c r="M314" s="165"/>
      <c r="N314" s="164"/>
      <c r="O314" s="164"/>
      <c r="P314" s="164"/>
      <c r="Q314" s="164"/>
      <c r="R314" s="164"/>
    </row>
    <row r="315" spans="1:18" s="149" customFormat="1" ht="15.75" customHeight="1">
      <c r="A315" s="135"/>
      <c r="B315" s="566"/>
      <c r="C315" s="121">
        <v>2</v>
      </c>
      <c r="D315" s="120">
        <v>4.3550000000000004</v>
      </c>
      <c r="E315" s="658">
        <v>0.25</v>
      </c>
      <c r="F315" s="658">
        <v>0.3</v>
      </c>
      <c r="G315" s="595">
        <f t="shared" si="9"/>
        <v>0.65325</v>
      </c>
      <c r="H315" s="516"/>
      <c r="I315" s="164"/>
      <c r="J315" s="164"/>
      <c r="K315" s="165"/>
      <c r="L315" s="165"/>
      <c r="M315" s="165"/>
      <c r="N315" s="164"/>
      <c r="O315" s="164"/>
      <c r="P315" s="164"/>
      <c r="Q315" s="164"/>
      <c r="R315" s="164"/>
    </row>
    <row r="316" spans="1:18" s="149" customFormat="1" ht="15.75" customHeight="1">
      <c r="A316" s="135"/>
      <c r="B316" s="566"/>
      <c r="C316" s="121">
        <v>1</v>
      </c>
      <c r="D316" s="120">
        <v>3.5950000000000002</v>
      </c>
      <c r="E316" s="658">
        <v>0.25</v>
      </c>
      <c r="F316" s="658">
        <v>0.3</v>
      </c>
      <c r="G316" s="595">
        <f t="shared" si="9"/>
        <v>0.269625</v>
      </c>
      <c r="H316" s="516"/>
      <c r="I316" s="164"/>
      <c r="J316" s="164"/>
      <c r="K316" s="165"/>
      <c r="L316" s="165"/>
      <c r="M316" s="165"/>
      <c r="N316" s="164"/>
      <c r="O316" s="164"/>
      <c r="P316" s="164"/>
      <c r="Q316" s="164"/>
      <c r="R316" s="164"/>
    </row>
    <row r="317" spans="1:18" s="149" customFormat="1" ht="15.75" customHeight="1">
      <c r="A317" s="135"/>
      <c r="B317" s="566"/>
      <c r="C317" s="121">
        <v>1</v>
      </c>
      <c r="D317" s="120">
        <v>4.3499999999999996</v>
      </c>
      <c r="E317" s="658">
        <v>0.25</v>
      </c>
      <c r="F317" s="658">
        <v>0.3</v>
      </c>
      <c r="G317" s="595">
        <f t="shared" si="9"/>
        <v>0.32624999999999998</v>
      </c>
      <c r="H317" s="516"/>
      <c r="I317" s="164"/>
      <c r="J317" s="164"/>
      <c r="K317" s="165"/>
      <c r="L317" s="165"/>
      <c r="M317" s="165"/>
      <c r="N317" s="164"/>
      <c r="O317" s="164"/>
      <c r="P317" s="164"/>
      <c r="Q317" s="164"/>
      <c r="R317" s="164"/>
    </row>
    <row r="318" spans="1:18" s="149" customFormat="1" ht="15.75" customHeight="1">
      <c r="A318" s="135"/>
      <c r="B318" s="566"/>
      <c r="C318" s="121">
        <v>1</v>
      </c>
      <c r="D318" s="120">
        <v>3.27</v>
      </c>
      <c r="E318" s="658">
        <v>0.25</v>
      </c>
      <c r="F318" s="658">
        <v>0.3</v>
      </c>
      <c r="G318" s="596">
        <f t="shared" si="9"/>
        <v>0.24525</v>
      </c>
      <c r="H318" s="516"/>
      <c r="I318" s="164"/>
      <c r="J318" s="164"/>
      <c r="K318" s="165"/>
      <c r="L318" s="165"/>
      <c r="M318" s="165"/>
      <c r="N318" s="164"/>
      <c r="O318" s="164"/>
      <c r="P318" s="164"/>
      <c r="Q318" s="164"/>
      <c r="R318" s="164"/>
    </row>
    <row r="319" spans="1:18" s="149" customFormat="1" ht="15.75" customHeight="1">
      <c r="A319" s="135"/>
      <c r="B319" s="566"/>
      <c r="C319" s="121"/>
      <c r="D319" s="120"/>
      <c r="E319" s="658"/>
      <c r="F319" s="658"/>
      <c r="G319" s="590">
        <f>SUM(G266:G318)</f>
        <v>65.198625000000021</v>
      </c>
      <c r="H319" s="516"/>
      <c r="I319" s="164"/>
      <c r="J319" s="164"/>
      <c r="K319" s="165"/>
      <c r="L319" s="165"/>
      <c r="M319" s="165"/>
      <c r="N319" s="164"/>
      <c r="O319" s="164"/>
      <c r="P319" s="164"/>
      <c r="Q319" s="164"/>
      <c r="R319" s="164"/>
    </row>
    <row r="320" spans="1:18" s="149" customFormat="1" ht="15.75" customHeight="1">
      <c r="A320" s="135"/>
      <c r="B320" s="566"/>
      <c r="C320" s="121"/>
      <c r="D320" s="120"/>
      <c r="E320" s="658"/>
      <c r="F320" s="658"/>
      <c r="G320" s="656">
        <f>G319*10%</f>
        <v>6.5198625000000021</v>
      </c>
      <c r="H320" s="503"/>
      <c r="I320" s="164"/>
      <c r="J320" s="164"/>
      <c r="K320" s="165"/>
      <c r="L320" s="165"/>
      <c r="M320" s="165"/>
      <c r="N320" s="164"/>
      <c r="O320" s="164"/>
      <c r="P320" s="164"/>
      <c r="Q320" s="164"/>
      <c r="R320" s="164"/>
    </row>
    <row r="321" spans="1:18" s="149" customFormat="1" ht="15">
      <c r="A321" s="135"/>
      <c r="B321" s="568"/>
      <c r="C321" s="121"/>
      <c r="D321" s="121"/>
      <c r="E321" s="121"/>
      <c r="F321" s="121"/>
      <c r="G321" s="551">
        <f>G320+G319</f>
        <v>71.718487500000023</v>
      </c>
      <c r="H321" s="642" t="s">
        <v>25</v>
      </c>
      <c r="I321" s="164"/>
      <c r="J321" s="164"/>
      <c r="K321" s="165"/>
      <c r="L321" s="165"/>
      <c r="M321" s="165"/>
      <c r="N321" s="164"/>
      <c r="O321" s="164"/>
      <c r="P321" s="164"/>
      <c r="Q321" s="164"/>
      <c r="R321" s="164"/>
    </row>
    <row r="322" spans="1:18" s="149" customFormat="1" ht="16.5" customHeight="1">
      <c r="A322" s="135"/>
      <c r="I322" s="164"/>
      <c r="J322" s="164"/>
      <c r="K322" s="165"/>
      <c r="L322" s="165"/>
      <c r="M322" s="165"/>
      <c r="N322" s="164"/>
      <c r="O322" s="164"/>
      <c r="P322" s="164"/>
      <c r="Q322" s="164"/>
      <c r="R322" s="164"/>
    </row>
    <row r="323" spans="1:18" s="149" customFormat="1" ht="16.5" customHeight="1">
      <c r="A323" s="135" t="s">
        <v>425</v>
      </c>
      <c r="B323" s="565" t="s">
        <v>489</v>
      </c>
      <c r="C323" s="121"/>
      <c r="D323" s="121"/>
      <c r="E323" s="121"/>
      <c r="F323" s="121"/>
      <c r="G323" s="521"/>
      <c r="H323" s="516"/>
      <c r="I323" s="164"/>
      <c r="J323" s="164"/>
      <c r="K323" s="165"/>
      <c r="L323" s="165"/>
      <c r="M323" s="165"/>
      <c r="N323" s="164"/>
      <c r="O323" s="164"/>
      <c r="P323" s="164"/>
      <c r="Q323" s="164"/>
      <c r="R323" s="164"/>
    </row>
    <row r="324" spans="1:18" s="149" customFormat="1" ht="16.5" customHeight="1">
      <c r="A324" s="135" t="s">
        <v>475</v>
      </c>
      <c r="B324" s="586" t="s">
        <v>622</v>
      </c>
      <c r="C324" s="586"/>
      <c r="D324" s="586"/>
      <c r="E324" s="121"/>
      <c r="F324" s="121"/>
      <c r="G324" s="498"/>
      <c r="H324" s="430"/>
      <c r="I324" s="164"/>
      <c r="J324" s="164"/>
      <c r="K324" s="165"/>
      <c r="L324" s="165"/>
      <c r="M324" s="165"/>
      <c r="N324" s="164"/>
      <c r="O324" s="164"/>
      <c r="P324" s="164"/>
      <c r="Q324" s="164"/>
      <c r="R324" s="164"/>
    </row>
    <row r="325" spans="1:18" s="149" customFormat="1" ht="16.5" customHeight="1">
      <c r="A325" s="135"/>
      <c r="B325" s="586" t="s">
        <v>1051</v>
      </c>
      <c r="C325" s="586"/>
      <c r="D325" s="586"/>
      <c r="E325" s="121"/>
      <c r="F325" s="121"/>
      <c r="G325" s="498"/>
      <c r="H325" s="430"/>
      <c r="I325" s="164"/>
      <c r="J325" s="164"/>
      <c r="K325" s="165"/>
      <c r="L325" s="165"/>
      <c r="M325" s="165"/>
      <c r="N325" s="164"/>
      <c r="O325" s="164"/>
      <c r="P325" s="164"/>
      <c r="Q325" s="164"/>
      <c r="R325" s="164"/>
    </row>
    <row r="326" spans="1:18" s="149" customFormat="1" ht="15">
      <c r="A326" s="135"/>
      <c r="B326" s="660" t="s">
        <v>608</v>
      </c>
      <c r="C326" s="567">
        <v>82</v>
      </c>
      <c r="D326" s="567">
        <v>0.25</v>
      </c>
      <c r="E326" s="4">
        <v>0.4</v>
      </c>
      <c r="F326" s="4">
        <v>3.6</v>
      </c>
      <c r="G326" s="412">
        <f>F326*E326*D326*C326</f>
        <v>29.520000000000003</v>
      </c>
      <c r="I326" s="164"/>
      <c r="J326" s="164"/>
      <c r="K326" s="165"/>
      <c r="L326" s="165"/>
      <c r="M326" s="165"/>
      <c r="N326" s="164"/>
      <c r="O326" s="164"/>
      <c r="P326" s="164"/>
      <c r="Q326" s="164"/>
      <c r="R326" s="164"/>
    </row>
    <row r="327" spans="1:18" s="149" customFormat="1" ht="15">
      <c r="A327" s="135"/>
      <c r="B327" s="660" t="s">
        <v>1220</v>
      </c>
      <c r="C327" s="567">
        <v>18</v>
      </c>
      <c r="D327" s="567">
        <v>0.25</v>
      </c>
      <c r="E327" s="4">
        <v>0.4</v>
      </c>
      <c r="F327" s="4">
        <v>3.6</v>
      </c>
      <c r="G327" s="412">
        <f>F327*E327*D327*C327</f>
        <v>6.48</v>
      </c>
      <c r="I327" s="164"/>
      <c r="J327" s="164"/>
      <c r="K327" s="165"/>
      <c r="L327" s="165"/>
      <c r="M327" s="165"/>
      <c r="N327" s="164"/>
      <c r="O327" s="164"/>
      <c r="P327" s="164"/>
      <c r="Q327" s="164"/>
      <c r="R327" s="164"/>
    </row>
    <row r="328" spans="1:18" s="149" customFormat="1" ht="15">
      <c r="A328" s="135"/>
      <c r="B328" s="660" t="s">
        <v>1298</v>
      </c>
      <c r="C328" s="567">
        <v>9</v>
      </c>
      <c r="D328" s="567">
        <v>0.25</v>
      </c>
      <c r="E328" s="4">
        <v>0.35</v>
      </c>
      <c r="F328" s="4">
        <v>3.6</v>
      </c>
      <c r="G328" s="412">
        <f>F328*E328*D328*C328</f>
        <v>2.835</v>
      </c>
      <c r="I328" s="164"/>
      <c r="J328" s="164"/>
      <c r="K328" s="165"/>
      <c r="L328" s="165"/>
      <c r="M328" s="165"/>
      <c r="N328" s="164"/>
      <c r="O328" s="164"/>
      <c r="P328" s="164"/>
      <c r="Q328" s="164"/>
      <c r="R328" s="164"/>
    </row>
    <row r="329" spans="1:18" s="149" customFormat="1" ht="15">
      <c r="A329" s="135"/>
      <c r="B329" s="660" t="s">
        <v>1356</v>
      </c>
      <c r="C329" s="567">
        <v>2</v>
      </c>
      <c r="D329" s="567">
        <v>0.25</v>
      </c>
      <c r="E329" s="4">
        <v>0.4</v>
      </c>
      <c r="F329" s="4">
        <v>3.6</v>
      </c>
      <c r="G329" s="556">
        <f>F329*E329*D329*C329</f>
        <v>0.72000000000000008</v>
      </c>
      <c r="I329" s="164"/>
      <c r="J329" s="164"/>
      <c r="K329" s="165"/>
      <c r="L329" s="165"/>
      <c r="M329" s="165"/>
      <c r="N329" s="164"/>
      <c r="O329" s="164"/>
      <c r="P329" s="164"/>
      <c r="Q329" s="164"/>
      <c r="R329" s="164"/>
    </row>
    <row r="330" spans="1:18" s="149" customFormat="1" ht="15">
      <c r="A330" s="135"/>
      <c r="B330" s="660"/>
      <c r="C330" s="567"/>
      <c r="D330" s="567"/>
      <c r="E330" s="4"/>
      <c r="F330" s="4"/>
      <c r="G330" s="412">
        <f>SUM(G326:G329)</f>
        <v>39.555</v>
      </c>
      <c r="I330" s="164"/>
      <c r="J330" s="164"/>
      <c r="K330" s="165"/>
      <c r="L330" s="165"/>
      <c r="M330" s="165"/>
      <c r="N330" s="164"/>
      <c r="O330" s="164"/>
      <c r="P330" s="164"/>
      <c r="Q330" s="164"/>
      <c r="R330" s="164"/>
    </row>
    <row r="331" spans="1:18" s="149" customFormat="1" ht="15">
      <c r="A331" s="135"/>
      <c r="B331" s="660"/>
      <c r="C331" s="567"/>
      <c r="D331" s="567"/>
      <c r="E331" s="4"/>
      <c r="F331" s="4"/>
      <c r="G331" s="656">
        <f>G330*10%</f>
        <v>3.9555000000000002</v>
      </c>
      <c r="H331" s="503"/>
      <c r="I331" s="164"/>
      <c r="J331" s="164"/>
      <c r="K331" s="165"/>
      <c r="L331" s="165"/>
      <c r="M331" s="165"/>
      <c r="N331" s="164"/>
      <c r="O331" s="164"/>
      <c r="P331" s="164"/>
      <c r="Q331" s="164"/>
      <c r="R331" s="164"/>
    </row>
    <row r="332" spans="1:18" s="149" customFormat="1">
      <c r="A332" s="135"/>
      <c r="B332" s="20"/>
      <c r="C332" s="186"/>
      <c r="D332" s="186"/>
      <c r="E332" s="186"/>
      <c r="F332" s="186"/>
      <c r="G332" s="551">
        <f>G331+G330</f>
        <v>43.5105</v>
      </c>
      <c r="H332" s="642" t="s">
        <v>25</v>
      </c>
      <c r="I332" s="164"/>
      <c r="J332" s="164"/>
      <c r="K332" s="165"/>
      <c r="L332" s="20"/>
      <c r="M332" s="186"/>
      <c r="N332" s="186"/>
      <c r="O332" s="164"/>
      <c r="P332" s="164"/>
      <c r="Q332" s="164"/>
      <c r="R332" s="164"/>
    </row>
    <row r="333" spans="1:18" s="149" customFormat="1">
      <c r="A333" s="135"/>
      <c r="E333" s="121"/>
      <c r="G333" s="498"/>
      <c r="H333" s="430"/>
      <c r="I333" s="164"/>
      <c r="J333" s="164"/>
      <c r="K333" s="165"/>
      <c r="L333" s="20"/>
      <c r="M333" s="186"/>
      <c r="N333" s="186"/>
      <c r="O333" s="164"/>
      <c r="P333" s="164"/>
      <c r="Q333" s="164"/>
      <c r="R333" s="164"/>
    </row>
    <row r="334" spans="1:18" s="164" customFormat="1" ht="15">
      <c r="A334" s="249"/>
      <c r="B334" s="547" t="s">
        <v>1214</v>
      </c>
      <c r="C334" s="165"/>
      <c r="D334" s="165"/>
      <c r="E334" s="165"/>
      <c r="F334" s="165"/>
      <c r="G334" s="526"/>
      <c r="H334" s="527"/>
      <c r="K334" s="165"/>
      <c r="L334" s="165"/>
      <c r="M334" s="165"/>
    </row>
    <row r="335" spans="1:18" s="164" customFormat="1" ht="15">
      <c r="A335" s="249"/>
      <c r="B335" s="660" t="s">
        <v>608</v>
      </c>
      <c r="C335" s="567">
        <v>82</v>
      </c>
      <c r="D335" s="567">
        <v>0.25</v>
      </c>
      <c r="E335" s="4">
        <v>0.4</v>
      </c>
      <c r="F335" s="4">
        <v>3.6</v>
      </c>
      <c r="G335" s="412">
        <f>F335*E335*D335*C335</f>
        <v>29.520000000000003</v>
      </c>
      <c r="H335" s="149"/>
      <c r="K335" s="165"/>
      <c r="L335" s="165"/>
      <c r="M335" s="165"/>
    </row>
    <row r="336" spans="1:18" s="164" customFormat="1" ht="15">
      <c r="A336" s="249"/>
      <c r="B336" s="660" t="s">
        <v>1220</v>
      </c>
      <c r="C336" s="567">
        <v>13</v>
      </c>
      <c r="D336" s="567">
        <v>0.25</v>
      </c>
      <c r="E336" s="4">
        <v>0.4</v>
      </c>
      <c r="F336" s="4">
        <v>3.6</v>
      </c>
      <c r="G336" s="412">
        <f>F336*E336*D336*C336</f>
        <v>4.6800000000000006</v>
      </c>
      <c r="H336" s="149"/>
      <c r="K336" s="165"/>
      <c r="L336" s="165"/>
      <c r="M336" s="165"/>
    </row>
    <row r="337" spans="1:18" s="164" customFormat="1" ht="15">
      <c r="A337" s="249"/>
      <c r="B337" s="660" t="s">
        <v>1298</v>
      </c>
      <c r="C337" s="567">
        <v>9</v>
      </c>
      <c r="D337" s="567">
        <v>0.25</v>
      </c>
      <c r="E337" s="4">
        <v>0.35</v>
      </c>
      <c r="F337" s="4">
        <v>3.6</v>
      </c>
      <c r="G337" s="412">
        <f>F337*E337*D337*C337</f>
        <v>2.835</v>
      </c>
      <c r="H337" s="149"/>
      <c r="K337" s="165"/>
      <c r="L337" s="165"/>
      <c r="M337" s="165"/>
    </row>
    <row r="338" spans="1:18" s="164" customFormat="1" ht="15">
      <c r="A338" s="249"/>
      <c r="B338" s="660" t="s">
        <v>1356</v>
      </c>
      <c r="C338" s="567">
        <v>2</v>
      </c>
      <c r="D338" s="567">
        <v>0.25</v>
      </c>
      <c r="E338" s="4">
        <v>0.4</v>
      </c>
      <c r="F338" s="4">
        <v>3.6</v>
      </c>
      <c r="G338" s="556">
        <f>F338*E338*D338*C338</f>
        <v>0.72000000000000008</v>
      </c>
      <c r="H338" s="149"/>
      <c r="K338" s="165"/>
      <c r="L338" s="165"/>
      <c r="M338" s="165"/>
    </row>
    <row r="339" spans="1:18" s="164" customFormat="1" ht="15">
      <c r="A339" s="249"/>
      <c r="B339" s="660"/>
      <c r="C339" s="567"/>
      <c r="D339" s="567"/>
      <c r="E339" s="4"/>
      <c r="F339" s="4"/>
      <c r="G339" s="412">
        <f>SUM(G335:G338)</f>
        <v>37.755000000000003</v>
      </c>
      <c r="H339" s="149"/>
      <c r="K339" s="165"/>
      <c r="L339" s="165"/>
      <c r="M339" s="165"/>
    </row>
    <row r="340" spans="1:18" s="164" customFormat="1" ht="15">
      <c r="A340" s="249"/>
      <c r="B340" s="660"/>
      <c r="C340" s="567"/>
      <c r="D340" s="567"/>
      <c r="E340" s="4"/>
      <c r="F340" s="4"/>
      <c r="G340" s="656">
        <f>G339*10%</f>
        <v>3.7755000000000005</v>
      </c>
      <c r="H340" s="503"/>
      <c r="K340" s="165"/>
      <c r="L340" s="165"/>
      <c r="M340" s="165"/>
    </row>
    <row r="341" spans="1:18" s="164" customFormat="1" ht="14.25" customHeight="1">
      <c r="A341" s="249"/>
      <c r="B341" s="20"/>
      <c r="C341" s="186"/>
      <c r="D341" s="186"/>
      <c r="E341" s="186"/>
      <c r="F341" s="186"/>
      <c r="G341" s="551">
        <f>G340+G339</f>
        <v>41.530500000000004</v>
      </c>
      <c r="H341" s="642" t="s">
        <v>25</v>
      </c>
      <c r="K341" s="165"/>
      <c r="L341" s="165"/>
      <c r="M341" s="165"/>
    </row>
    <row r="342" spans="1:18" s="164" customFormat="1" ht="15">
      <c r="A342" s="249"/>
      <c r="B342" s="547"/>
      <c r="C342" s="165"/>
      <c r="D342" s="165"/>
      <c r="E342" s="165"/>
      <c r="F342" s="165"/>
      <c r="G342" s="554"/>
      <c r="H342" s="527"/>
      <c r="K342" s="165"/>
      <c r="L342" s="165"/>
      <c r="M342" s="165"/>
    </row>
    <row r="343" spans="1:18" s="149" customFormat="1" ht="15">
      <c r="A343" s="135"/>
      <c r="B343" s="566"/>
      <c r="C343" s="121"/>
      <c r="D343" s="121"/>
      <c r="E343" s="121"/>
      <c r="F343" s="121"/>
      <c r="G343" s="521"/>
      <c r="H343" s="516"/>
      <c r="I343" s="164"/>
      <c r="J343" s="164"/>
      <c r="K343" s="165"/>
      <c r="L343" s="165"/>
      <c r="M343" s="165"/>
      <c r="N343" s="164"/>
      <c r="O343" s="164"/>
      <c r="P343" s="164"/>
      <c r="Q343" s="164"/>
      <c r="R343" s="164"/>
    </row>
    <row r="344" spans="1:18" s="149" customFormat="1" ht="15">
      <c r="A344" s="135"/>
      <c r="B344" s="566" t="s">
        <v>1161</v>
      </c>
      <c r="C344" s="121"/>
      <c r="D344" s="121"/>
      <c r="E344" s="121"/>
      <c r="F344" s="121"/>
      <c r="G344" s="521"/>
      <c r="H344" s="516"/>
      <c r="I344" s="164"/>
      <c r="J344" s="164"/>
      <c r="K344" s="165"/>
      <c r="L344" s="165"/>
      <c r="M344" s="165"/>
      <c r="N344" s="164"/>
      <c r="O344" s="164"/>
      <c r="P344" s="164"/>
      <c r="Q344" s="164"/>
      <c r="R344" s="164"/>
    </row>
    <row r="345" spans="1:18" s="149" customFormat="1">
      <c r="A345" s="135"/>
      <c r="B345" s="20" t="s">
        <v>608</v>
      </c>
      <c r="C345" s="113">
        <v>2</v>
      </c>
      <c r="D345" s="113">
        <v>0.25</v>
      </c>
      <c r="E345" s="620">
        <v>0.4</v>
      </c>
      <c r="F345" s="113">
        <v>2.4</v>
      </c>
      <c r="G345" s="540">
        <f>F345*E345*D345*C345</f>
        <v>0.48</v>
      </c>
      <c r="H345" s="527"/>
      <c r="I345" s="164"/>
      <c r="J345" s="164"/>
      <c r="K345" s="165"/>
      <c r="L345" s="165"/>
      <c r="M345" s="165"/>
      <c r="N345" s="164"/>
      <c r="O345" s="164"/>
      <c r="P345" s="164"/>
      <c r="Q345" s="164"/>
      <c r="R345" s="164"/>
    </row>
    <row r="346" spans="1:18" s="149" customFormat="1" ht="15">
      <c r="A346" s="135"/>
      <c r="B346" s="568"/>
      <c r="C346" s="165">
        <v>2</v>
      </c>
      <c r="D346" s="165">
        <v>0.25</v>
      </c>
      <c r="E346" s="501">
        <v>0.45</v>
      </c>
      <c r="F346" s="165">
        <v>2.4</v>
      </c>
      <c r="G346" s="508">
        <f>F346*E346*D346*C346</f>
        <v>0.54</v>
      </c>
      <c r="H346" s="588"/>
      <c r="I346" s="164"/>
      <c r="J346" s="432"/>
      <c r="K346" s="165"/>
      <c r="L346" s="165"/>
      <c r="M346" s="165"/>
      <c r="N346" s="164"/>
      <c r="O346" s="164"/>
      <c r="P346" s="164"/>
      <c r="Q346" s="164"/>
      <c r="R346" s="164"/>
    </row>
    <row r="347" spans="1:18" s="149" customFormat="1" ht="15">
      <c r="A347" s="135"/>
      <c r="B347" s="568"/>
      <c r="C347" s="165"/>
      <c r="D347" s="165"/>
      <c r="E347" s="501"/>
      <c r="F347" s="165"/>
      <c r="G347" s="540">
        <f>SUM(G345:G346)</f>
        <v>1.02</v>
      </c>
      <c r="H347" s="588"/>
      <c r="I347" s="164"/>
      <c r="J347" s="432"/>
      <c r="K347" s="165"/>
      <c r="L347" s="165"/>
      <c r="M347" s="165"/>
      <c r="N347" s="164"/>
      <c r="O347" s="164"/>
      <c r="P347" s="164"/>
      <c r="Q347" s="164"/>
      <c r="R347" s="164"/>
    </row>
    <row r="348" spans="1:18" s="149" customFormat="1" ht="15">
      <c r="A348" s="135"/>
      <c r="B348" s="568"/>
      <c r="C348" s="165"/>
      <c r="D348" s="165"/>
      <c r="E348" s="501"/>
      <c r="F348" s="165"/>
      <c r="G348" s="656">
        <f>G347*10%</f>
        <v>0.10200000000000001</v>
      </c>
      <c r="H348" s="503"/>
      <c r="I348" s="164"/>
      <c r="J348" s="432"/>
      <c r="K348" s="165"/>
      <c r="L348" s="165"/>
      <c r="M348" s="165"/>
      <c r="N348" s="164"/>
      <c r="O348" s="164"/>
      <c r="P348" s="164"/>
      <c r="Q348" s="164"/>
      <c r="R348" s="164"/>
    </row>
    <row r="349" spans="1:18" s="149" customFormat="1" ht="15">
      <c r="A349" s="135"/>
      <c r="B349" s="568"/>
      <c r="C349" s="165"/>
      <c r="D349" s="165"/>
      <c r="E349" s="165"/>
      <c r="F349" s="165"/>
      <c r="G349" s="551">
        <f>G348+G347</f>
        <v>1.1220000000000001</v>
      </c>
      <c r="H349" s="642" t="s">
        <v>25</v>
      </c>
      <c r="I349" s="164"/>
      <c r="J349" s="164"/>
      <c r="K349" s="165"/>
      <c r="L349" s="165"/>
      <c r="M349" s="165"/>
      <c r="N349" s="164"/>
      <c r="O349" s="164"/>
      <c r="P349" s="164"/>
      <c r="Q349" s="164"/>
      <c r="R349" s="164"/>
    </row>
    <row r="350" spans="1:18" s="149" customFormat="1" ht="15">
      <c r="A350" s="135"/>
      <c r="B350" s="568"/>
      <c r="C350" s="165"/>
      <c r="D350" s="165"/>
      <c r="E350" s="165"/>
      <c r="F350" s="165"/>
      <c r="G350" s="526"/>
      <c r="H350" s="527"/>
      <c r="I350" s="164"/>
      <c r="J350" s="164"/>
      <c r="K350" s="165"/>
      <c r="L350" s="165"/>
      <c r="M350" s="165"/>
      <c r="N350" s="164"/>
      <c r="O350" s="164"/>
      <c r="P350" s="164"/>
      <c r="Q350" s="164"/>
      <c r="R350" s="164"/>
    </row>
    <row r="351" spans="1:18" s="149" customFormat="1" ht="15">
      <c r="A351" s="135" t="s">
        <v>476</v>
      </c>
      <c r="B351" s="566" t="s">
        <v>1222</v>
      </c>
      <c r="C351" s="121"/>
      <c r="D351" s="121"/>
      <c r="E351" s="121"/>
      <c r="F351" s="121"/>
      <c r="G351" s="521"/>
      <c r="H351" s="516"/>
      <c r="I351" s="164"/>
      <c r="J351" s="164"/>
      <c r="K351" s="165"/>
      <c r="L351" s="165"/>
      <c r="M351" s="165"/>
      <c r="N351" s="164"/>
      <c r="O351" s="164"/>
      <c r="P351" s="164"/>
      <c r="Q351" s="164"/>
      <c r="R351" s="164"/>
    </row>
    <row r="352" spans="1:18" s="149" customFormat="1" ht="15">
      <c r="A352" s="135"/>
      <c r="B352" s="566" t="s">
        <v>1051</v>
      </c>
      <c r="C352" s="121"/>
      <c r="D352" s="121"/>
      <c r="E352" s="121"/>
      <c r="F352" s="121"/>
      <c r="G352" s="521"/>
      <c r="H352" s="516"/>
      <c r="I352" s="164"/>
      <c r="J352" s="164"/>
      <c r="K352" s="165"/>
      <c r="L352" s="165"/>
      <c r="M352" s="165"/>
      <c r="N352" s="164"/>
      <c r="O352" s="164"/>
      <c r="P352" s="164"/>
      <c r="Q352" s="164"/>
      <c r="R352" s="164"/>
    </row>
    <row r="353" spans="1:18" s="149" customFormat="1">
      <c r="A353" s="135"/>
      <c r="B353" s="20" t="s">
        <v>481</v>
      </c>
      <c r="C353" s="186">
        <v>50</v>
      </c>
      <c r="D353" s="1275" t="s">
        <v>1377</v>
      </c>
      <c r="E353" s="1276"/>
      <c r="F353" s="121">
        <f>5.16*0.3</f>
        <v>1.548</v>
      </c>
      <c r="G353" s="654">
        <f>F353*C353*0.5*0.25*0.15</f>
        <v>1.4512500000000002</v>
      </c>
      <c r="H353" s="516"/>
      <c r="I353" s="164"/>
      <c r="J353" s="164"/>
      <c r="K353" s="165"/>
      <c r="L353" s="165"/>
      <c r="M353" s="165"/>
      <c r="N353" s="164"/>
      <c r="O353" s="164"/>
      <c r="P353" s="164"/>
      <c r="Q353" s="164"/>
      <c r="R353" s="164"/>
    </row>
    <row r="354" spans="1:18" s="149" customFormat="1">
      <c r="A354" s="135"/>
      <c r="B354" s="20" t="s">
        <v>474</v>
      </c>
      <c r="C354" s="121">
        <v>4</v>
      </c>
      <c r="D354" s="121">
        <f>9.5*0.3</f>
        <v>2.85</v>
      </c>
      <c r="E354" s="121">
        <f>5.16*0.3</f>
        <v>1.548</v>
      </c>
      <c r="F354" s="121">
        <f>0.5*0.3</f>
        <v>0.15</v>
      </c>
      <c r="G354" s="591">
        <f>F354*E354*D354*C354</f>
        <v>2.6470799999999999</v>
      </c>
      <c r="H354" s="516"/>
      <c r="I354" s="164"/>
      <c r="J354" s="164"/>
      <c r="K354" s="165"/>
      <c r="L354" s="165"/>
      <c r="M354" s="165"/>
      <c r="N354" s="164"/>
      <c r="O354" s="164"/>
      <c r="P354" s="164"/>
      <c r="Q354" s="164"/>
      <c r="R354" s="164"/>
    </row>
    <row r="355" spans="1:18" s="149" customFormat="1">
      <c r="A355" s="135"/>
      <c r="B355" s="20"/>
      <c r="C355" s="121">
        <v>2</v>
      </c>
      <c r="D355" s="121">
        <f>3.25*0.3</f>
        <v>0.97499999999999998</v>
      </c>
      <c r="E355" s="121">
        <f>5.16*0.3</f>
        <v>1.548</v>
      </c>
      <c r="F355" s="121">
        <v>0.15</v>
      </c>
      <c r="G355" s="591">
        <f>F355*E355*D355*C355</f>
        <v>0.45278999999999997</v>
      </c>
      <c r="H355" s="516"/>
      <c r="I355" s="164"/>
      <c r="J355" s="164"/>
      <c r="K355" s="165"/>
      <c r="L355" s="165"/>
      <c r="M355" s="165"/>
      <c r="N355" s="164"/>
      <c r="O355" s="164"/>
      <c r="P355" s="164"/>
      <c r="Q355" s="164"/>
      <c r="R355" s="164"/>
    </row>
    <row r="356" spans="1:18" s="149" customFormat="1">
      <c r="A356" s="135"/>
      <c r="B356" s="20" t="s">
        <v>483</v>
      </c>
      <c r="C356" s="186">
        <v>4</v>
      </c>
      <c r="D356" s="186">
        <f>5.16*0.3</f>
        <v>1.548</v>
      </c>
      <c r="E356" s="186">
        <f>5.16*0.3</f>
        <v>1.548</v>
      </c>
      <c r="F356" s="186">
        <v>0.15</v>
      </c>
      <c r="G356" s="655">
        <f>F356*E356*D356*C356</f>
        <v>1.4377823999999999</v>
      </c>
      <c r="H356" s="516"/>
      <c r="I356" s="164"/>
      <c r="J356" s="164"/>
      <c r="K356" s="165"/>
      <c r="L356" s="165"/>
      <c r="M356" s="165"/>
      <c r="N356" s="164"/>
      <c r="O356" s="164"/>
      <c r="P356" s="164"/>
      <c r="Q356" s="164"/>
      <c r="R356" s="164"/>
    </row>
    <row r="357" spans="1:18" s="149" customFormat="1">
      <c r="A357" s="135"/>
      <c r="B357" s="20"/>
      <c r="C357" s="186"/>
      <c r="D357" s="186"/>
      <c r="E357" s="186"/>
      <c r="F357" s="186"/>
      <c r="G357" s="654">
        <f>SUM(G353:G356)</f>
        <v>5.9889023999999997</v>
      </c>
      <c r="H357" s="516"/>
      <c r="I357" s="164"/>
      <c r="J357" s="164"/>
      <c r="K357" s="165"/>
      <c r="L357" s="165"/>
      <c r="M357" s="165"/>
      <c r="N357" s="164"/>
      <c r="O357" s="164"/>
      <c r="P357" s="164"/>
      <c r="Q357" s="164"/>
      <c r="R357" s="164"/>
    </row>
    <row r="358" spans="1:18" s="149" customFormat="1">
      <c r="A358" s="135"/>
      <c r="B358" s="20"/>
      <c r="C358" s="186"/>
      <c r="D358" s="186"/>
      <c r="E358" s="186"/>
      <c r="F358" s="186"/>
      <c r="G358" s="656">
        <f>G357*10%</f>
        <v>0.59889024000000002</v>
      </c>
      <c r="H358" s="503"/>
      <c r="I358" s="164"/>
      <c r="J358" s="164"/>
      <c r="K358" s="165"/>
      <c r="L358" s="165"/>
      <c r="M358" s="165"/>
      <c r="N358" s="164"/>
      <c r="O358" s="164"/>
      <c r="P358" s="164"/>
      <c r="Q358" s="164"/>
      <c r="R358" s="164"/>
    </row>
    <row r="359" spans="1:18" s="149" customFormat="1" ht="15">
      <c r="A359" s="135"/>
      <c r="B359" s="568"/>
      <c r="C359" s="121"/>
      <c r="D359" s="121"/>
      <c r="E359" s="121"/>
      <c r="F359" s="121"/>
      <c r="G359" s="551">
        <f>G358+G357</f>
        <v>6.58779264</v>
      </c>
      <c r="H359" s="642" t="s">
        <v>25</v>
      </c>
      <c r="I359" s="164"/>
      <c r="J359" s="164"/>
      <c r="K359" s="165"/>
      <c r="L359" s="165"/>
      <c r="M359" s="165"/>
      <c r="N359" s="164"/>
      <c r="O359" s="164"/>
      <c r="P359" s="164"/>
      <c r="Q359" s="164"/>
      <c r="R359" s="164"/>
    </row>
    <row r="360" spans="1:18" s="149" customFormat="1" ht="15">
      <c r="A360" s="135"/>
      <c r="C360" s="121"/>
      <c r="D360" s="121"/>
      <c r="E360" s="121"/>
      <c r="F360" s="121"/>
      <c r="G360" s="521"/>
      <c r="H360" s="516"/>
      <c r="I360" s="164"/>
      <c r="J360" s="164"/>
      <c r="K360" s="165"/>
      <c r="L360" s="165"/>
      <c r="M360" s="165"/>
      <c r="N360" s="164"/>
      <c r="O360" s="164"/>
      <c r="P360" s="164"/>
      <c r="Q360" s="164"/>
      <c r="R360" s="164"/>
    </row>
    <row r="361" spans="1:18" s="149" customFormat="1" ht="15">
      <c r="A361" s="135"/>
      <c r="B361" s="566" t="s">
        <v>1214</v>
      </c>
      <c r="C361" s="121"/>
      <c r="D361" s="121"/>
      <c r="E361" s="121"/>
      <c r="F361" s="121"/>
      <c r="G361" s="535">
        <f>G357</f>
        <v>5.9889023999999997</v>
      </c>
      <c r="H361" s="516"/>
      <c r="I361" s="164"/>
      <c r="J361" s="164"/>
      <c r="K361" s="165"/>
      <c r="L361" s="165"/>
      <c r="M361" s="165"/>
      <c r="N361" s="164"/>
      <c r="O361" s="164"/>
      <c r="P361" s="164"/>
      <c r="Q361" s="164"/>
      <c r="R361" s="164"/>
    </row>
    <row r="362" spans="1:18" s="149" customFormat="1">
      <c r="A362" s="135"/>
      <c r="C362" s="121"/>
      <c r="D362" s="121"/>
      <c r="E362" s="121"/>
      <c r="F362" s="121"/>
      <c r="G362" s="656">
        <f>G361*10%</f>
        <v>0.59889024000000002</v>
      </c>
      <c r="H362" s="503"/>
      <c r="I362" s="164"/>
      <c r="J362" s="164"/>
      <c r="K362" s="165"/>
      <c r="L362" s="165"/>
      <c r="M362" s="165"/>
      <c r="N362" s="164"/>
      <c r="O362" s="164"/>
      <c r="P362" s="164"/>
      <c r="Q362" s="164"/>
      <c r="R362" s="164"/>
    </row>
    <row r="363" spans="1:18" s="149" customFormat="1" ht="15">
      <c r="A363" s="135"/>
      <c r="B363" s="566"/>
      <c r="C363" s="121"/>
      <c r="D363" s="121"/>
      <c r="E363" s="121"/>
      <c r="F363" s="121"/>
      <c r="G363" s="551">
        <f>G362+G361</f>
        <v>6.58779264</v>
      </c>
      <c r="H363" s="642" t="s">
        <v>25</v>
      </c>
      <c r="I363" s="164"/>
      <c r="J363" s="164"/>
      <c r="K363" s="165"/>
      <c r="L363" s="165"/>
      <c r="M363" s="165"/>
      <c r="N363" s="164"/>
      <c r="O363" s="164"/>
      <c r="P363" s="164"/>
      <c r="Q363" s="164"/>
      <c r="R363" s="164"/>
    </row>
    <row r="364" spans="1:18" s="149" customFormat="1" ht="15">
      <c r="A364" s="135"/>
      <c r="C364" s="121"/>
      <c r="D364" s="121"/>
      <c r="E364" s="121"/>
      <c r="F364" s="121"/>
      <c r="G364" s="521"/>
      <c r="H364" s="516"/>
      <c r="I364" s="164"/>
      <c r="J364" s="164"/>
      <c r="K364" s="165"/>
      <c r="L364" s="165"/>
      <c r="M364" s="165"/>
      <c r="N364" s="164"/>
      <c r="O364" s="164"/>
      <c r="P364" s="164"/>
      <c r="Q364" s="164"/>
      <c r="R364" s="164"/>
    </row>
    <row r="365" spans="1:18" s="149" customFormat="1" ht="15">
      <c r="A365" s="135" t="s">
        <v>477</v>
      </c>
      <c r="B365" s="566" t="s">
        <v>1160</v>
      </c>
      <c r="C365" s="121"/>
      <c r="D365" s="121"/>
      <c r="E365" s="121"/>
      <c r="F365" s="121"/>
      <c r="G365" s="521"/>
      <c r="H365" s="516"/>
      <c r="I365" s="164"/>
      <c r="J365" s="164"/>
      <c r="K365" s="165"/>
      <c r="L365" s="165"/>
      <c r="M365" s="165"/>
      <c r="N365" s="164"/>
      <c r="O365" s="164"/>
      <c r="P365" s="164"/>
      <c r="Q365" s="164"/>
      <c r="R365" s="164"/>
    </row>
    <row r="366" spans="1:18" s="149" customFormat="1" ht="15">
      <c r="A366" s="135"/>
      <c r="B366" s="566" t="s">
        <v>1051</v>
      </c>
      <c r="C366" s="121"/>
      <c r="D366" s="121"/>
      <c r="E366" s="121"/>
      <c r="F366" s="121"/>
      <c r="G366" s="521"/>
      <c r="H366" s="516"/>
      <c r="I366" s="164"/>
      <c r="J366" s="164"/>
      <c r="K366" s="165"/>
      <c r="L366" s="165"/>
      <c r="M366" s="165"/>
      <c r="N366" s="164"/>
      <c r="O366" s="164"/>
      <c r="P366" s="164"/>
      <c r="Q366" s="164"/>
      <c r="R366" s="164"/>
    </row>
    <row r="367" spans="1:18" s="149" customFormat="1" ht="15">
      <c r="A367" s="135"/>
      <c r="B367" s="566"/>
      <c r="C367" s="55">
        <v>4</v>
      </c>
      <c r="D367" s="184">
        <v>4.4800000000000004</v>
      </c>
      <c r="E367" s="184">
        <v>0.25</v>
      </c>
      <c r="F367" s="184">
        <v>0.3</v>
      </c>
      <c r="G367" s="432">
        <f t="shared" ref="G367:G427" si="10">F367*E367*D367*C367</f>
        <v>1.3440000000000001</v>
      </c>
      <c r="H367" s="430"/>
      <c r="I367" s="164"/>
      <c r="J367" s="164"/>
      <c r="K367" s="165"/>
      <c r="L367" s="165"/>
      <c r="M367" s="165"/>
      <c r="N367" s="164"/>
      <c r="O367" s="164"/>
      <c r="P367" s="164"/>
      <c r="Q367" s="164"/>
      <c r="R367" s="164"/>
    </row>
    <row r="368" spans="1:18" s="149" customFormat="1" ht="15">
      <c r="A368" s="135"/>
      <c r="B368" s="566"/>
      <c r="C368" s="55">
        <v>2</v>
      </c>
      <c r="D368" s="184">
        <v>4.78</v>
      </c>
      <c r="E368" s="184">
        <v>0.25</v>
      </c>
      <c r="F368" s="184">
        <v>0.3</v>
      </c>
      <c r="G368" s="432">
        <f t="shared" si="10"/>
        <v>0.71699999999999997</v>
      </c>
      <c r="H368" s="430"/>
      <c r="I368" s="164"/>
      <c r="J368" s="164"/>
      <c r="K368" s="165"/>
      <c r="L368" s="165"/>
      <c r="M368" s="165"/>
      <c r="N368" s="164"/>
      <c r="O368" s="164"/>
      <c r="P368" s="164"/>
      <c r="Q368" s="164"/>
      <c r="R368" s="164"/>
    </row>
    <row r="369" spans="1:18" s="149" customFormat="1" ht="15">
      <c r="A369" s="135"/>
      <c r="B369" s="566"/>
      <c r="C369" s="55">
        <v>8</v>
      </c>
      <c r="D369" s="184">
        <v>3.5150000000000001</v>
      </c>
      <c r="E369" s="184">
        <v>0.25</v>
      </c>
      <c r="F369" s="184">
        <v>0.3</v>
      </c>
      <c r="G369" s="432">
        <f t="shared" si="10"/>
        <v>2.109</v>
      </c>
      <c r="H369" s="430"/>
      <c r="I369" s="164"/>
      <c r="J369" s="164"/>
      <c r="K369" s="165"/>
      <c r="L369" s="165"/>
      <c r="M369" s="165"/>
      <c r="N369" s="164"/>
      <c r="O369" s="164"/>
      <c r="P369" s="164"/>
      <c r="Q369" s="164"/>
      <c r="R369" s="164"/>
    </row>
    <row r="370" spans="1:18" s="149" customFormat="1" ht="15">
      <c r="A370" s="135"/>
      <c r="B370" s="566"/>
      <c r="C370" s="55">
        <v>4</v>
      </c>
      <c r="D370" s="184">
        <v>3.64</v>
      </c>
      <c r="E370" s="184">
        <v>0.25</v>
      </c>
      <c r="F370" s="184">
        <v>0.3</v>
      </c>
      <c r="G370" s="432">
        <f t="shared" si="10"/>
        <v>1.0920000000000001</v>
      </c>
      <c r="H370" s="430"/>
      <c r="I370" s="164"/>
      <c r="J370" s="164"/>
      <c r="K370" s="165"/>
      <c r="L370" s="165"/>
      <c r="M370" s="165"/>
      <c r="N370" s="164"/>
      <c r="O370" s="164"/>
      <c r="P370" s="164"/>
      <c r="Q370" s="164"/>
      <c r="R370" s="164"/>
    </row>
    <row r="371" spans="1:18" s="149" customFormat="1" ht="15">
      <c r="A371" s="135"/>
      <c r="B371" s="566"/>
      <c r="C371" s="55">
        <v>4</v>
      </c>
      <c r="D371" s="184">
        <v>3.54</v>
      </c>
      <c r="E371" s="184">
        <v>0.25</v>
      </c>
      <c r="F371" s="184">
        <v>0.3</v>
      </c>
      <c r="G371" s="432">
        <f t="shared" si="10"/>
        <v>1.0620000000000001</v>
      </c>
      <c r="H371" s="430"/>
      <c r="I371" s="164"/>
      <c r="J371" s="164"/>
      <c r="K371" s="165"/>
      <c r="L371" s="165"/>
      <c r="M371" s="165"/>
      <c r="N371" s="164"/>
      <c r="O371" s="164"/>
      <c r="P371" s="164"/>
      <c r="Q371" s="164"/>
      <c r="R371" s="164"/>
    </row>
    <row r="372" spans="1:18" s="149" customFormat="1" ht="15">
      <c r="A372" s="135"/>
      <c r="B372" s="566"/>
      <c r="C372" s="55">
        <v>4</v>
      </c>
      <c r="D372" s="184">
        <v>4.4800000000000004</v>
      </c>
      <c r="E372" s="184">
        <v>0.25</v>
      </c>
      <c r="F372" s="184">
        <v>0.3</v>
      </c>
      <c r="G372" s="432">
        <f t="shared" si="10"/>
        <v>1.3440000000000001</v>
      </c>
      <c r="H372" s="430"/>
      <c r="I372" s="164"/>
      <c r="J372" s="164"/>
      <c r="K372" s="165"/>
      <c r="L372" s="165"/>
      <c r="M372" s="165"/>
      <c r="N372" s="164"/>
      <c r="O372" s="164"/>
      <c r="P372" s="164"/>
      <c r="Q372" s="164"/>
      <c r="R372" s="164"/>
    </row>
    <row r="373" spans="1:18" s="149" customFormat="1" ht="15">
      <c r="A373" s="135"/>
      <c r="B373" s="566"/>
      <c r="C373" s="55">
        <v>4</v>
      </c>
      <c r="D373" s="184">
        <v>4.78</v>
      </c>
      <c r="E373" s="184">
        <v>0.25</v>
      </c>
      <c r="F373" s="184">
        <v>0.3</v>
      </c>
      <c r="G373" s="432">
        <f t="shared" si="10"/>
        <v>1.4339999999999999</v>
      </c>
      <c r="H373" s="430"/>
      <c r="I373" s="164"/>
      <c r="J373" s="164"/>
      <c r="K373" s="165"/>
      <c r="L373" s="165"/>
      <c r="M373" s="165"/>
      <c r="N373" s="164"/>
      <c r="O373" s="164"/>
      <c r="P373" s="164"/>
      <c r="Q373" s="164"/>
      <c r="R373" s="164"/>
    </row>
    <row r="374" spans="1:18" s="149" customFormat="1" ht="15">
      <c r="A374" s="135"/>
      <c r="B374" s="566"/>
      <c r="C374" s="55">
        <v>8</v>
      </c>
      <c r="D374" s="184">
        <v>2.4</v>
      </c>
      <c r="E374" s="184">
        <v>0.25</v>
      </c>
      <c r="F374" s="184">
        <v>0.3</v>
      </c>
      <c r="G374" s="432">
        <f t="shared" si="10"/>
        <v>1.44</v>
      </c>
      <c r="H374" s="430"/>
      <c r="I374" s="164"/>
      <c r="J374" s="164"/>
      <c r="K374" s="165"/>
      <c r="L374" s="165"/>
      <c r="M374" s="165"/>
      <c r="N374" s="164"/>
      <c r="O374" s="164"/>
      <c r="P374" s="164"/>
      <c r="Q374" s="164"/>
      <c r="R374" s="164"/>
    </row>
    <row r="375" spans="1:18" s="149" customFormat="1" ht="15">
      <c r="A375" s="135"/>
      <c r="B375" s="566"/>
      <c r="C375" s="55">
        <v>4</v>
      </c>
      <c r="D375" s="184">
        <v>4.7300000000000004</v>
      </c>
      <c r="E375" s="184">
        <v>0.25</v>
      </c>
      <c r="F375" s="184">
        <v>0.3</v>
      </c>
      <c r="G375" s="432">
        <f t="shared" si="10"/>
        <v>1.419</v>
      </c>
      <c r="H375" s="430"/>
      <c r="I375" s="164"/>
      <c r="J375" s="164"/>
      <c r="K375" s="165"/>
      <c r="L375" s="165"/>
      <c r="M375" s="165"/>
      <c r="N375" s="164"/>
      <c r="O375" s="164"/>
      <c r="P375" s="164"/>
      <c r="Q375" s="164"/>
      <c r="R375" s="164"/>
    </row>
    <row r="376" spans="1:18" s="149" customFormat="1" ht="15">
      <c r="A376" s="135"/>
      <c r="B376" s="566"/>
      <c r="C376" s="55">
        <v>4</v>
      </c>
      <c r="D376" s="184">
        <v>5.03</v>
      </c>
      <c r="E376" s="184">
        <v>0.25</v>
      </c>
      <c r="F376" s="184">
        <v>0.3</v>
      </c>
      <c r="G376" s="432">
        <f t="shared" si="10"/>
        <v>1.5090000000000001</v>
      </c>
      <c r="H376" s="430"/>
      <c r="I376" s="164"/>
      <c r="J376" s="164"/>
      <c r="K376" s="165"/>
      <c r="L376" s="165"/>
      <c r="M376" s="165"/>
      <c r="N376" s="164"/>
      <c r="O376" s="164"/>
      <c r="P376" s="164"/>
      <c r="Q376" s="164"/>
      <c r="R376" s="164"/>
    </row>
    <row r="377" spans="1:18" s="149" customFormat="1" ht="15">
      <c r="A377" s="135"/>
      <c r="B377" s="566"/>
      <c r="C377" s="55">
        <v>2</v>
      </c>
      <c r="D377" s="184">
        <v>5.3449999999999998</v>
      </c>
      <c r="E377" s="184">
        <v>0.25</v>
      </c>
      <c r="F377" s="184">
        <v>0.3</v>
      </c>
      <c r="G377" s="432">
        <f t="shared" si="10"/>
        <v>0.80174999999999996</v>
      </c>
      <c r="H377" s="430"/>
      <c r="I377" s="164"/>
      <c r="J377" s="164"/>
      <c r="K377" s="165"/>
      <c r="L377" s="165"/>
      <c r="M377" s="165"/>
      <c r="N377" s="164"/>
      <c r="O377" s="164"/>
      <c r="P377" s="164"/>
      <c r="Q377" s="164"/>
      <c r="R377" s="164"/>
    </row>
    <row r="378" spans="1:18" s="149" customFormat="1" ht="15">
      <c r="A378" s="135"/>
      <c r="B378" s="566"/>
      <c r="C378" s="55">
        <v>7</v>
      </c>
      <c r="D378" s="184">
        <v>5.7450000000000001</v>
      </c>
      <c r="E378" s="184">
        <v>0.25</v>
      </c>
      <c r="F378" s="184">
        <v>0.3</v>
      </c>
      <c r="G378" s="432">
        <f t="shared" si="10"/>
        <v>3.0161250000000002</v>
      </c>
      <c r="H378" s="430"/>
      <c r="I378" s="164"/>
      <c r="J378" s="164"/>
      <c r="K378" s="165"/>
      <c r="L378" s="165"/>
      <c r="M378" s="165"/>
      <c r="N378" s="164"/>
      <c r="O378" s="164"/>
      <c r="P378" s="164"/>
      <c r="Q378" s="164"/>
      <c r="R378" s="164"/>
    </row>
    <row r="379" spans="1:18" s="149" customFormat="1" ht="15">
      <c r="A379" s="135"/>
      <c r="B379" s="566"/>
      <c r="C379" s="55">
        <v>1</v>
      </c>
      <c r="D379" s="184">
        <v>5.34</v>
      </c>
      <c r="E379" s="184">
        <v>0.25</v>
      </c>
      <c r="F379" s="184">
        <v>0.3</v>
      </c>
      <c r="G379" s="432">
        <f t="shared" si="10"/>
        <v>0.40049999999999997</v>
      </c>
      <c r="H379" s="430"/>
      <c r="I379" s="164"/>
      <c r="J379" s="164"/>
      <c r="K379" s="165"/>
      <c r="L379" s="165"/>
      <c r="M379" s="165"/>
      <c r="N379" s="164"/>
      <c r="O379" s="164"/>
      <c r="P379" s="164"/>
      <c r="Q379" s="164"/>
      <c r="R379" s="164"/>
    </row>
    <row r="380" spans="1:18" s="149" customFormat="1" ht="15">
      <c r="A380" s="135"/>
      <c r="B380" s="568"/>
      <c r="C380" s="55">
        <v>6</v>
      </c>
      <c r="D380" s="184">
        <v>4.4800000000000004</v>
      </c>
      <c r="E380" s="184">
        <v>0.25</v>
      </c>
      <c r="F380" s="184">
        <v>0.3</v>
      </c>
      <c r="G380" s="432">
        <f t="shared" si="10"/>
        <v>2.016</v>
      </c>
      <c r="H380" s="430"/>
      <c r="I380" s="164"/>
      <c r="J380" s="164"/>
      <c r="K380" s="165"/>
      <c r="L380" s="165"/>
      <c r="M380" s="165"/>
      <c r="N380" s="164"/>
      <c r="O380" s="164"/>
      <c r="P380" s="164"/>
      <c r="Q380" s="164"/>
      <c r="R380" s="164"/>
    </row>
    <row r="381" spans="1:18" s="149" customFormat="1" ht="15">
      <c r="A381" s="135"/>
      <c r="B381" s="568"/>
      <c r="C381" s="55">
        <v>4</v>
      </c>
      <c r="D381" s="184">
        <v>4.78</v>
      </c>
      <c r="E381" s="184">
        <v>0.25</v>
      </c>
      <c r="F381" s="184">
        <v>0.3</v>
      </c>
      <c r="G381" s="432">
        <f t="shared" si="10"/>
        <v>1.4339999999999999</v>
      </c>
      <c r="H381" s="430"/>
      <c r="I381" s="164"/>
      <c r="J381" s="164"/>
      <c r="K381" s="165"/>
      <c r="L381" s="165"/>
      <c r="M381" s="165"/>
      <c r="N381" s="164"/>
      <c r="O381" s="164"/>
      <c r="P381" s="164"/>
      <c r="Q381" s="164"/>
      <c r="R381" s="164"/>
    </row>
    <row r="382" spans="1:18" s="149" customFormat="1" ht="15">
      <c r="A382" s="135"/>
      <c r="B382" s="568"/>
      <c r="C382" s="55">
        <v>1</v>
      </c>
      <c r="D382" s="184">
        <v>4.63</v>
      </c>
      <c r="E382" s="184">
        <v>0.25</v>
      </c>
      <c r="F382" s="184">
        <v>0.3</v>
      </c>
      <c r="G382" s="432">
        <f t="shared" si="10"/>
        <v>0.34725</v>
      </c>
      <c r="H382" s="430"/>
      <c r="I382" s="164"/>
      <c r="J382" s="164"/>
      <c r="K382" s="165"/>
      <c r="L382" s="165"/>
      <c r="M382" s="165"/>
      <c r="N382" s="164"/>
      <c r="O382" s="164"/>
      <c r="P382" s="164"/>
      <c r="Q382" s="164"/>
      <c r="R382" s="164"/>
    </row>
    <row r="383" spans="1:18" s="149" customFormat="1" ht="15">
      <c r="A383" s="135"/>
      <c r="B383" s="568"/>
      <c r="C383" s="55">
        <v>4</v>
      </c>
      <c r="D383" s="184">
        <v>1.1499999999999999</v>
      </c>
      <c r="E383" s="184">
        <v>0.25</v>
      </c>
      <c r="F383" s="184">
        <v>0.25</v>
      </c>
      <c r="G383" s="432">
        <f t="shared" si="10"/>
        <v>0.28749999999999998</v>
      </c>
      <c r="H383" s="430"/>
      <c r="I383" s="164"/>
      <c r="J383" s="164"/>
      <c r="K383" s="165"/>
      <c r="L383" s="165"/>
      <c r="M383" s="165"/>
      <c r="N383" s="164"/>
      <c r="O383" s="164"/>
      <c r="P383" s="164"/>
      <c r="Q383" s="164"/>
      <c r="R383" s="164"/>
    </row>
    <row r="384" spans="1:18" s="149" customFormat="1" ht="15">
      <c r="A384" s="135"/>
      <c r="B384" s="568"/>
      <c r="C384" s="55">
        <v>4</v>
      </c>
      <c r="D384" s="184">
        <v>3.6949999999999998</v>
      </c>
      <c r="E384" s="184">
        <v>0.25</v>
      </c>
      <c r="F384" s="184">
        <v>0.25</v>
      </c>
      <c r="G384" s="432">
        <f t="shared" si="10"/>
        <v>0.92374999999999996</v>
      </c>
      <c r="H384" s="430"/>
      <c r="I384" s="164"/>
      <c r="J384" s="164"/>
      <c r="K384" s="165"/>
      <c r="L384" s="165"/>
      <c r="M384" s="165"/>
      <c r="N384" s="164"/>
      <c r="O384" s="164"/>
      <c r="P384" s="164"/>
      <c r="Q384" s="164"/>
      <c r="R384" s="164"/>
    </row>
    <row r="385" spans="1:18" s="149" customFormat="1" ht="15">
      <c r="A385" s="135"/>
      <c r="B385" s="568"/>
      <c r="C385" s="55">
        <v>4</v>
      </c>
      <c r="D385" s="184">
        <v>3.2650000000000001</v>
      </c>
      <c r="E385" s="184">
        <v>0.25</v>
      </c>
      <c r="F385" s="184">
        <v>0.25</v>
      </c>
      <c r="G385" s="432">
        <f t="shared" si="10"/>
        <v>0.81625000000000003</v>
      </c>
      <c r="H385" s="430"/>
      <c r="I385" s="164"/>
      <c r="J385" s="164"/>
      <c r="K385" s="165"/>
      <c r="L385" s="165"/>
      <c r="M385" s="165"/>
      <c r="N385" s="164"/>
      <c r="O385" s="164"/>
      <c r="P385" s="164"/>
      <c r="Q385" s="164"/>
      <c r="R385" s="164"/>
    </row>
    <row r="386" spans="1:18" s="149" customFormat="1" ht="15">
      <c r="A386" s="135"/>
      <c r="B386" s="568"/>
      <c r="C386" s="55">
        <v>2</v>
      </c>
      <c r="D386" s="184">
        <v>3.04</v>
      </c>
      <c r="E386" s="184">
        <v>0.25</v>
      </c>
      <c r="F386" s="184">
        <v>0.25</v>
      </c>
      <c r="G386" s="432">
        <f t="shared" si="10"/>
        <v>0.38</v>
      </c>
      <c r="H386" s="430"/>
      <c r="I386" s="164"/>
      <c r="J386" s="164"/>
      <c r="K386" s="165"/>
      <c r="L386" s="165"/>
      <c r="M386" s="165"/>
      <c r="N386" s="164"/>
      <c r="O386" s="164"/>
      <c r="P386" s="164"/>
      <c r="Q386" s="164"/>
      <c r="R386" s="164"/>
    </row>
    <row r="387" spans="1:18" s="149" customFormat="1" ht="15">
      <c r="A387" s="135"/>
      <c r="B387" s="568"/>
      <c r="C387" s="55">
        <v>4</v>
      </c>
      <c r="D387" s="184">
        <v>2.93</v>
      </c>
      <c r="E387" s="184">
        <v>0.25</v>
      </c>
      <c r="F387" s="184">
        <v>0.25</v>
      </c>
      <c r="G387" s="432">
        <f t="shared" si="10"/>
        <v>0.73250000000000004</v>
      </c>
      <c r="H387" s="430"/>
      <c r="I387" s="164"/>
      <c r="J387" s="164"/>
      <c r="K387" s="165"/>
      <c r="L387" s="165"/>
      <c r="M387" s="165"/>
      <c r="N387" s="164"/>
      <c r="O387" s="164"/>
      <c r="P387" s="164"/>
      <c r="Q387" s="164"/>
      <c r="R387" s="164"/>
    </row>
    <row r="388" spans="1:18" s="149" customFormat="1" ht="15">
      <c r="A388" s="135"/>
      <c r="B388" s="568"/>
      <c r="C388" s="55">
        <v>2</v>
      </c>
      <c r="D388" s="184">
        <v>2.355</v>
      </c>
      <c r="E388" s="184">
        <v>0.25</v>
      </c>
      <c r="F388" s="184">
        <v>0.25</v>
      </c>
      <c r="G388" s="432">
        <f t="shared" si="10"/>
        <v>0.294375</v>
      </c>
      <c r="H388" s="430"/>
      <c r="I388" s="164"/>
      <c r="J388" s="164"/>
      <c r="K388" s="165"/>
      <c r="L388" s="165"/>
      <c r="M388" s="165"/>
      <c r="N388" s="164"/>
      <c r="O388" s="164"/>
      <c r="P388" s="164"/>
      <c r="Q388" s="164"/>
      <c r="R388" s="164"/>
    </row>
    <row r="389" spans="1:18" s="149" customFormat="1" ht="15">
      <c r="A389" s="135"/>
      <c r="B389" s="568"/>
      <c r="C389" s="55">
        <v>4</v>
      </c>
      <c r="D389" s="184">
        <v>2.83</v>
      </c>
      <c r="E389" s="184">
        <v>0.25</v>
      </c>
      <c r="F389" s="184">
        <v>0.25</v>
      </c>
      <c r="G389" s="432">
        <f t="shared" si="10"/>
        <v>0.70750000000000002</v>
      </c>
      <c r="H389" s="430"/>
      <c r="I389" s="164"/>
      <c r="J389" s="164"/>
      <c r="K389" s="165"/>
      <c r="L389" s="165"/>
      <c r="M389" s="165"/>
      <c r="N389" s="164"/>
      <c r="O389" s="164"/>
      <c r="P389" s="164"/>
      <c r="Q389" s="164"/>
      <c r="R389" s="164"/>
    </row>
    <row r="390" spans="1:18" s="149" customFormat="1" ht="15">
      <c r="A390" s="135"/>
      <c r="B390" s="568"/>
      <c r="C390" s="55">
        <v>1</v>
      </c>
      <c r="D390" s="184">
        <v>4.5350000000000001</v>
      </c>
      <c r="E390" s="184">
        <v>0.25</v>
      </c>
      <c r="F390" s="184">
        <v>0.25</v>
      </c>
      <c r="G390" s="432">
        <f t="shared" si="10"/>
        <v>0.28343750000000001</v>
      </c>
      <c r="H390" s="430"/>
      <c r="I390" s="164"/>
      <c r="J390" s="164"/>
      <c r="K390" s="165"/>
      <c r="L390" s="165"/>
      <c r="M390" s="165"/>
      <c r="N390" s="164"/>
      <c r="O390" s="164"/>
      <c r="P390" s="164"/>
      <c r="Q390" s="164"/>
      <c r="R390" s="164"/>
    </row>
    <row r="391" spans="1:18" s="149" customFormat="1" ht="15">
      <c r="A391" s="135"/>
      <c r="B391" s="568"/>
      <c r="C391" s="55">
        <v>1</v>
      </c>
      <c r="D391" s="184">
        <v>4.9349999999999996</v>
      </c>
      <c r="E391" s="184">
        <v>0.25</v>
      </c>
      <c r="F391" s="184">
        <v>0.25</v>
      </c>
      <c r="G391" s="432">
        <f t="shared" si="10"/>
        <v>0.30843749999999998</v>
      </c>
      <c r="H391" s="430"/>
      <c r="I391" s="164"/>
      <c r="J391" s="164"/>
      <c r="K391" s="165"/>
      <c r="L391" s="165"/>
      <c r="M391" s="165"/>
      <c r="N391" s="164"/>
      <c r="O391" s="164"/>
      <c r="P391" s="164"/>
      <c r="Q391" s="164"/>
      <c r="R391" s="164"/>
    </row>
    <row r="392" spans="1:18" s="149" customFormat="1" ht="15">
      <c r="A392" s="135"/>
      <c r="B392" s="568"/>
      <c r="C392" s="55">
        <v>2</v>
      </c>
      <c r="D392" s="184">
        <v>4.2</v>
      </c>
      <c r="E392" s="184">
        <v>0.25</v>
      </c>
      <c r="F392" s="184">
        <v>0.25</v>
      </c>
      <c r="G392" s="432">
        <f t="shared" si="10"/>
        <v>0.52500000000000002</v>
      </c>
      <c r="H392" s="430"/>
      <c r="I392" s="164"/>
      <c r="J392" s="164"/>
      <c r="K392" s="165"/>
      <c r="L392" s="165"/>
      <c r="M392" s="165"/>
      <c r="N392" s="164"/>
      <c r="O392" s="164"/>
      <c r="P392" s="164"/>
      <c r="Q392" s="164"/>
      <c r="R392" s="164"/>
    </row>
    <row r="393" spans="1:18" s="149" customFormat="1" ht="15">
      <c r="A393" s="135"/>
      <c r="B393" s="568"/>
      <c r="C393" s="55">
        <v>2</v>
      </c>
      <c r="D393" s="184">
        <v>1.8</v>
      </c>
      <c r="E393" s="184">
        <v>0.25</v>
      </c>
      <c r="F393" s="184">
        <v>0.25</v>
      </c>
      <c r="G393" s="432">
        <f t="shared" si="10"/>
        <v>0.22500000000000001</v>
      </c>
      <c r="H393" s="430"/>
      <c r="I393" s="164"/>
      <c r="J393" s="164"/>
      <c r="K393" s="165"/>
      <c r="L393" s="165"/>
      <c r="M393" s="165"/>
      <c r="N393" s="164"/>
      <c r="O393" s="164"/>
      <c r="P393" s="164"/>
      <c r="Q393" s="164"/>
      <c r="R393" s="164"/>
    </row>
    <row r="394" spans="1:18" s="149" customFormat="1" ht="15">
      <c r="A394" s="135"/>
      <c r="B394" s="568"/>
      <c r="C394" s="55">
        <v>12</v>
      </c>
      <c r="D394" s="184">
        <v>3.4449999999999998</v>
      </c>
      <c r="E394" s="184">
        <v>0.25</v>
      </c>
      <c r="F394" s="184">
        <v>0.25</v>
      </c>
      <c r="G394" s="432">
        <f t="shared" si="10"/>
        <v>2.5837499999999998</v>
      </c>
      <c r="H394" s="430"/>
      <c r="I394" s="164"/>
      <c r="J394" s="164"/>
      <c r="K394" s="165"/>
      <c r="L394" s="165"/>
      <c r="M394" s="165"/>
      <c r="N394" s="164"/>
      <c r="O394" s="164"/>
      <c r="P394" s="164"/>
      <c r="Q394" s="164"/>
      <c r="R394" s="164"/>
    </row>
    <row r="395" spans="1:18" s="149" customFormat="1" ht="15">
      <c r="A395" s="135"/>
      <c r="B395" s="568"/>
      <c r="C395" s="55">
        <v>6</v>
      </c>
      <c r="D395" s="184">
        <v>3.2450000000000001</v>
      </c>
      <c r="E395" s="184">
        <v>0.25</v>
      </c>
      <c r="F395" s="184">
        <v>0.25</v>
      </c>
      <c r="G395" s="432">
        <f t="shared" si="10"/>
        <v>1.2168749999999999</v>
      </c>
      <c r="H395" s="430"/>
      <c r="I395" s="164"/>
      <c r="J395" s="164"/>
      <c r="K395" s="165"/>
      <c r="L395" s="165"/>
      <c r="M395" s="165"/>
      <c r="N395" s="164"/>
      <c r="O395" s="164"/>
      <c r="P395" s="164"/>
      <c r="Q395" s="164"/>
      <c r="R395" s="164"/>
    </row>
    <row r="396" spans="1:18" s="149" customFormat="1" ht="15">
      <c r="A396" s="135"/>
      <c r="B396" s="568"/>
      <c r="C396" s="55">
        <v>2</v>
      </c>
      <c r="D396" s="184">
        <v>3.55</v>
      </c>
      <c r="E396" s="184">
        <v>0.25</v>
      </c>
      <c r="F396" s="184">
        <v>0.25</v>
      </c>
      <c r="G396" s="432">
        <f t="shared" si="10"/>
        <v>0.44374999999999998</v>
      </c>
      <c r="H396" s="430"/>
      <c r="I396" s="164"/>
      <c r="J396" s="164"/>
      <c r="K396" s="165"/>
      <c r="L396" s="165"/>
      <c r="M396" s="165"/>
      <c r="N396" s="164"/>
      <c r="O396" s="164"/>
      <c r="P396" s="164"/>
      <c r="Q396" s="164"/>
      <c r="R396" s="164"/>
    </row>
    <row r="397" spans="1:18" s="149" customFormat="1" ht="15">
      <c r="A397" s="135"/>
      <c r="B397" s="568"/>
      <c r="C397" s="55">
        <v>8</v>
      </c>
      <c r="D397" s="184">
        <v>3.5150000000000001</v>
      </c>
      <c r="E397" s="184">
        <v>0.25</v>
      </c>
      <c r="F397" s="184">
        <v>0.25</v>
      </c>
      <c r="G397" s="432">
        <f t="shared" si="10"/>
        <v>1.7575000000000001</v>
      </c>
      <c r="H397" s="430"/>
      <c r="I397" s="164"/>
      <c r="J397" s="164"/>
      <c r="K397" s="165"/>
      <c r="L397" s="165"/>
      <c r="M397" s="165"/>
      <c r="N397" s="164"/>
      <c r="O397" s="164"/>
      <c r="P397" s="164"/>
      <c r="Q397" s="164"/>
      <c r="R397" s="164"/>
    </row>
    <row r="398" spans="1:18" s="149" customFormat="1" ht="15">
      <c r="A398" s="135"/>
      <c r="B398" s="568"/>
      <c r="C398" s="55">
        <v>4</v>
      </c>
      <c r="D398" s="184">
        <v>3.64</v>
      </c>
      <c r="E398" s="184">
        <v>0.25</v>
      </c>
      <c r="F398" s="184">
        <v>0.25</v>
      </c>
      <c r="G398" s="432">
        <f t="shared" si="10"/>
        <v>0.91</v>
      </c>
      <c r="H398" s="430"/>
      <c r="I398" s="164"/>
      <c r="J398" s="164"/>
      <c r="K398" s="165"/>
      <c r="L398" s="165"/>
      <c r="M398" s="165"/>
      <c r="N398" s="164"/>
      <c r="O398" s="164"/>
      <c r="P398" s="164"/>
      <c r="Q398" s="164"/>
      <c r="R398" s="164"/>
    </row>
    <row r="399" spans="1:18" s="149" customFormat="1" ht="15">
      <c r="A399" s="135"/>
      <c r="B399" s="568"/>
      <c r="C399" s="55">
        <v>4</v>
      </c>
      <c r="D399" s="184">
        <v>3.54</v>
      </c>
      <c r="E399" s="184">
        <v>0.25</v>
      </c>
      <c r="F399" s="184">
        <v>0.25</v>
      </c>
      <c r="G399" s="432">
        <f t="shared" si="10"/>
        <v>0.88500000000000001</v>
      </c>
      <c r="H399" s="430"/>
      <c r="I399" s="164"/>
      <c r="J399" s="164"/>
      <c r="K399" s="165"/>
      <c r="L399" s="165"/>
      <c r="M399" s="165"/>
      <c r="N399" s="164"/>
      <c r="O399" s="164"/>
      <c r="P399" s="164"/>
      <c r="Q399" s="164"/>
      <c r="R399" s="164"/>
    </row>
    <row r="400" spans="1:18" s="149" customFormat="1" ht="15">
      <c r="A400" s="135"/>
      <c r="B400" s="568"/>
      <c r="C400" s="55">
        <v>4</v>
      </c>
      <c r="D400" s="184">
        <v>4.4800000000000004</v>
      </c>
      <c r="E400" s="184">
        <v>0.25</v>
      </c>
      <c r="F400" s="184">
        <v>0.25</v>
      </c>
      <c r="G400" s="432">
        <f t="shared" si="10"/>
        <v>1.1200000000000001</v>
      </c>
      <c r="H400" s="430"/>
      <c r="I400" s="164"/>
      <c r="J400" s="164"/>
      <c r="K400" s="165"/>
      <c r="L400" s="165"/>
      <c r="M400" s="165"/>
      <c r="N400" s="164"/>
      <c r="O400" s="164"/>
      <c r="P400" s="164"/>
      <c r="Q400" s="164"/>
      <c r="R400" s="164"/>
    </row>
    <row r="401" spans="1:18" s="149" customFormat="1" ht="15">
      <c r="A401" s="135"/>
      <c r="B401" s="568"/>
      <c r="C401" s="55">
        <v>2</v>
      </c>
      <c r="D401" s="184">
        <v>4.78</v>
      </c>
      <c r="E401" s="184">
        <v>0.25</v>
      </c>
      <c r="F401" s="184">
        <v>0.25</v>
      </c>
      <c r="G401" s="432">
        <f t="shared" si="10"/>
        <v>0.59750000000000003</v>
      </c>
      <c r="H401" s="430"/>
      <c r="I401" s="164"/>
      <c r="J401" s="164"/>
      <c r="K401" s="165"/>
      <c r="L401" s="165"/>
      <c r="M401" s="165"/>
      <c r="N401" s="164"/>
      <c r="O401" s="164"/>
      <c r="P401" s="164"/>
      <c r="Q401" s="164"/>
      <c r="R401" s="164"/>
    </row>
    <row r="402" spans="1:18" s="149" customFormat="1" ht="15">
      <c r="A402" s="135"/>
      <c r="B402" s="568"/>
      <c r="C402" s="55">
        <v>8</v>
      </c>
      <c r="D402" s="184">
        <v>3.4449999999999998</v>
      </c>
      <c r="E402" s="184">
        <v>0.25</v>
      </c>
      <c r="F402" s="184">
        <v>0.25</v>
      </c>
      <c r="G402" s="432">
        <f t="shared" si="10"/>
        <v>1.7224999999999999</v>
      </c>
      <c r="H402" s="430"/>
      <c r="I402" s="164"/>
      <c r="J402" s="164"/>
      <c r="K402" s="165"/>
      <c r="L402" s="165"/>
      <c r="M402" s="165"/>
      <c r="N402" s="164"/>
      <c r="O402" s="164"/>
      <c r="P402" s="164"/>
      <c r="Q402" s="164"/>
      <c r="R402" s="164"/>
    </row>
    <row r="403" spans="1:18" s="149" customFormat="1" ht="15">
      <c r="A403" s="135"/>
      <c r="B403" s="568"/>
      <c r="C403" s="55">
        <v>4</v>
      </c>
      <c r="D403" s="184">
        <v>3.2450000000000001</v>
      </c>
      <c r="E403" s="184">
        <v>0.25</v>
      </c>
      <c r="F403" s="184">
        <v>0.25</v>
      </c>
      <c r="G403" s="432">
        <f t="shared" si="10"/>
        <v>0.81125000000000003</v>
      </c>
      <c r="H403" s="430"/>
      <c r="I403" s="164"/>
      <c r="J403" s="164"/>
      <c r="K403" s="165"/>
      <c r="L403" s="165"/>
      <c r="M403" s="165"/>
      <c r="N403" s="164"/>
      <c r="O403" s="164"/>
      <c r="P403" s="164"/>
      <c r="Q403" s="164"/>
      <c r="R403" s="164"/>
    </row>
    <row r="404" spans="1:18" s="149" customFormat="1" ht="15">
      <c r="A404" s="135"/>
      <c r="B404" s="568"/>
      <c r="C404" s="55">
        <v>3</v>
      </c>
      <c r="D404" s="184">
        <v>3.42</v>
      </c>
      <c r="E404" s="184">
        <v>0.25</v>
      </c>
      <c r="F404" s="184">
        <v>0.25</v>
      </c>
      <c r="G404" s="432">
        <f t="shared" si="10"/>
        <v>0.64124999999999999</v>
      </c>
      <c r="H404" s="430"/>
      <c r="I404" s="164"/>
      <c r="J404" s="164"/>
      <c r="K404" s="165"/>
      <c r="L404" s="165"/>
      <c r="M404" s="165"/>
      <c r="N404" s="164"/>
      <c r="O404" s="164"/>
      <c r="P404" s="164"/>
      <c r="Q404" s="164"/>
      <c r="R404" s="164"/>
    </row>
    <row r="405" spans="1:18" s="149" customFormat="1" ht="15">
      <c r="A405" s="135"/>
      <c r="B405" s="568"/>
      <c r="C405" s="55">
        <v>2</v>
      </c>
      <c r="D405" s="184">
        <v>4.5</v>
      </c>
      <c r="E405" s="184">
        <v>0.25</v>
      </c>
      <c r="F405" s="184">
        <v>0.25</v>
      </c>
      <c r="G405" s="432">
        <f t="shared" si="10"/>
        <v>0.5625</v>
      </c>
      <c r="H405" s="430"/>
      <c r="I405" s="164"/>
      <c r="J405" s="164"/>
      <c r="K405" s="165"/>
      <c r="L405" s="165"/>
      <c r="M405" s="165"/>
      <c r="N405" s="164"/>
      <c r="O405" s="164"/>
      <c r="P405" s="164"/>
      <c r="Q405" s="164"/>
      <c r="R405" s="164"/>
    </row>
    <row r="406" spans="1:18" s="149" customFormat="1" ht="15">
      <c r="A406" s="135"/>
      <c r="B406" s="568"/>
      <c r="C406" s="55">
        <v>2</v>
      </c>
      <c r="D406" s="184">
        <v>3.6949999999999998</v>
      </c>
      <c r="E406" s="184">
        <v>0.25</v>
      </c>
      <c r="F406" s="184">
        <v>0.25</v>
      </c>
      <c r="G406" s="432">
        <f t="shared" si="10"/>
        <v>0.46187499999999998</v>
      </c>
      <c r="H406" s="430"/>
      <c r="I406" s="164"/>
      <c r="J406" s="164"/>
      <c r="K406" s="165"/>
      <c r="L406" s="165"/>
      <c r="M406" s="165"/>
      <c r="N406" s="164"/>
      <c r="O406" s="164"/>
      <c r="P406" s="164"/>
      <c r="Q406" s="164"/>
      <c r="R406" s="164"/>
    </row>
    <row r="407" spans="1:18" s="149" customFormat="1" ht="15">
      <c r="A407" s="135"/>
      <c r="B407" s="568"/>
      <c r="C407" s="55">
        <v>1</v>
      </c>
      <c r="D407" s="184">
        <v>2.04</v>
      </c>
      <c r="E407" s="184">
        <v>0.25</v>
      </c>
      <c r="F407" s="184">
        <v>0.25</v>
      </c>
      <c r="G407" s="432">
        <f t="shared" si="10"/>
        <v>0.1275</v>
      </c>
      <c r="H407" s="430"/>
      <c r="I407" s="164"/>
      <c r="J407" s="164"/>
      <c r="K407" s="165"/>
      <c r="L407" s="165"/>
      <c r="M407" s="165"/>
      <c r="N407" s="164"/>
      <c r="O407" s="164"/>
      <c r="P407" s="164"/>
      <c r="Q407" s="164"/>
      <c r="R407" s="164"/>
    </row>
    <row r="408" spans="1:18" s="149" customFormat="1" ht="15">
      <c r="A408" s="135"/>
      <c r="B408" s="568"/>
      <c r="C408" s="55">
        <v>2</v>
      </c>
      <c r="D408" s="184">
        <v>4.2</v>
      </c>
      <c r="E408" s="184">
        <v>0.25</v>
      </c>
      <c r="F408" s="184">
        <v>0.2</v>
      </c>
      <c r="G408" s="432">
        <f t="shared" si="10"/>
        <v>0.42000000000000004</v>
      </c>
      <c r="H408" s="430"/>
      <c r="I408" s="164"/>
      <c r="J408" s="164"/>
      <c r="K408" s="165"/>
      <c r="L408" s="165"/>
      <c r="M408" s="165"/>
      <c r="N408" s="164"/>
      <c r="O408" s="164"/>
      <c r="P408" s="164"/>
      <c r="Q408" s="164"/>
      <c r="R408" s="164"/>
    </row>
    <row r="409" spans="1:18" s="149" customFormat="1" ht="15">
      <c r="A409" s="135"/>
      <c r="B409" s="568"/>
      <c r="C409" s="55">
        <v>11</v>
      </c>
      <c r="D409" s="184">
        <v>2.4</v>
      </c>
      <c r="E409" s="184">
        <v>0.25</v>
      </c>
      <c r="F409" s="184">
        <v>0.2</v>
      </c>
      <c r="G409" s="432">
        <f t="shared" si="10"/>
        <v>1.3199999999999998</v>
      </c>
      <c r="H409" s="430"/>
      <c r="I409" s="164"/>
      <c r="J409" s="164"/>
      <c r="K409" s="165"/>
      <c r="L409" s="165"/>
      <c r="M409" s="165"/>
      <c r="N409" s="164"/>
      <c r="O409" s="164"/>
      <c r="P409" s="164"/>
      <c r="Q409" s="164"/>
      <c r="R409" s="164"/>
    </row>
    <row r="410" spans="1:18" s="149" customFormat="1" ht="15">
      <c r="A410" s="135"/>
      <c r="B410" s="568"/>
      <c r="C410" s="55">
        <v>1</v>
      </c>
      <c r="D410" s="184">
        <v>4.2149999999999999</v>
      </c>
      <c r="E410" s="184">
        <v>0.25</v>
      </c>
      <c r="F410" s="184">
        <v>0.2</v>
      </c>
      <c r="G410" s="432">
        <f t="shared" si="10"/>
        <v>0.21074999999999999</v>
      </c>
      <c r="H410" s="430"/>
      <c r="I410" s="164"/>
      <c r="J410" s="164"/>
      <c r="K410" s="165"/>
      <c r="L410" s="165"/>
      <c r="M410" s="165"/>
      <c r="N410" s="164"/>
      <c r="O410" s="164"/>
      <c r="P410" s="164"/>
      <c r="Q410" s="164"/>
      <c r="R410" s="164"/>
    </row>
    <row r="411" spans="1:18" s="149" customFormat="1" ht="15">
      <c r="A411" s="135"/>
      <c r="B411" s="568"/>
      <c r="C411" s="55">
        <v>2</v>
      </c>
      <c r="D411" s="184">
        <v>3.55</v>
      </c>
      <c r="E411" s="184">
        <v>0.25</v>
      </c>
      <c r="F411" s="184">
        <v>0.2</v>
      </c>
      <c r="G411" s="432">
        <f t="shared" si="10"/>
        <v>0.35499999999999998</v>
      </c>
      <c r="H411" s="430"/>
      <c r="I411" s="164"/>
      <c r="J411" s="164"/>
      <c r="K411" s="165"/>
      <c r="L411" s="165"/>
      <c r="M411" s="165"/>
      <c r="N411" s="164"/>
      <c r="O411" s="164"/>
      <c r="P411" s="164"/>
      <c r="Q411" s="164"/>
      <c r="R411" s="164"/>
    </row>
    <row r="412" spans="1:18" s="149" customFormat="1" ht="15">
      <c r="A412" s="135"/>
      <c r="B412" s="568"/>
      <c r="C412" s="55">
        <v>2</v>
      </c>
      <c r="D412" s="184">
        <v>4.3550000000000004</v>
      </c>
      <c r="E412" s="184">
        <v>0.25</v>
      </c>
      <c r="F412" s="184">
        <v>0.2</v>
      </c>
      <c r="G412" s="432">
        <f t="shared" si="10"/>
        <v>0.43550000000000005</v>
      </c>
      <c r="H412" s="430"/>
      <c r="I412" s="164"/>
      <c r="J412" s="164"/>
      <c r="K412" s="165"/>
      <c r="L412" s="165"/>
      <c r="M412" s="165"/>
      <c r="N412" s="164"/>
      <c r="O412" s="164"/>
      <c r="P412" s="164"/>
      <c r="Q412" s="164"/>
      <c r="R412" s="164"/>
    </row>
    <row r="413" spans="1:18" s="149" customFormat="1" ht="15">
      <c r="A413" s="135"/>
      <c r="B413" s="568"/>
      <c r="C413" s="55">
        <v>1</v>
      </c>
      <c r="D413" s="184">
        <v>3.5950000000000002</v>
      </c>
      <c r="E413" s="184">
        <v>0.25</v>
      </c>
      <c r="F413" s="184">
        <v>0.2</v>
      </c>
      <c r="G413" s="432">
        <f t="shared" si="10"/>
        <v>0.17975000000000002</v>
      </c>
      <c r="H413" s="430"/>
      <c r="I413" s="164"/>
      <c r="J413" s="164"/>
      <c r="K413" s="165"/>
      <c r="L413" s="165"/>
      <c r="M413" s="165"/>
      <c r="N413" s="164"/>
      <c r="O413" s="164"/>
      <c r="P413" s="164"/>
      <c r="Q413" s="164"/>
      <c r="R413" s="164"/>
    </row>
    <row r="414" spans="1:18" s="149" customFormat="1" ht="15">
      <c r="A414" s="135"/>
      <c r="B414" s="568"/>
      <c r="C414" s="55">
        <v>1</v>
      </c>
      <c r="D414" s="184">
        <v>4.3499999999999996</v>
      </c>
      <c r="E414" s="184">
        <v>0.25</v>
      </c>
      <c r="F414" s="184">
        <v>0.2</v>
      </c>
      <c r="G414" s="432">
        <f t="shared" si="10"/>
        <v>0.2175</v>
      </c>
      <c r="H414" s="430"/>
      <c r="I414" s="164"/>
      <c r="J414" s="164"/>
      <c r="K414" s="165"/>
      <c r="L414" s="165"/>
      <c r="M414" s="165"/>
      <c r="N414" s="164"/>
      <c r="O414" s="164"/>
      <c r="P414" s="164"/>
      <c r="Q414" s="164"/>
      <c r="R414" s="164"/>
    </row>
    <row r="415" spans="1:18" s="149" customFormat="1" ht="15">
      <c r="A415" s="135"/>
      <c r="B415" s="568"/>
      <c r="C415" s="55">
        <v>1</v>
      </c>
      <c r="D415" s="184">
        <v>3.27</v>
      </c>
      <c r="E415" s="184">
        <v>0.25</v>
      </c>
      <c r="F415" s="184">
        <v>0.2</v>
      </c>
      <c r="G415" s="432">
        <f t="shared" si="10"/>
        <v>0.16350000000000001</v>
      </c>
      <c r="H415" s="430"/>
      <c r="I415" s="164"/>
      <c r="J415" s="164"/>
      <c r="K415" s="165"/>
      <c r="L415" s="165"/>
      <c r="M415" s="165"/>
      <c r="N415" s="164"/>
      <c r="O415" s="164"/>
      <c r="P415" s="164"/>
      <c r="Q415" s="164"/>
      <c r="R415" s="164"/>
    </row>
    <row r="416" spans="1:18" s="149" customFormat="1" ht="15">
      <c r="A416" s="135"/>
      <c r="B416" s="568"/>
      <c r="C416" s="55">
        <v>1</v>
      </c>
      <c r="D416" s="184">
        <v>3.2650000000000001</v>
      </c>
      <c r="E416" s="184">
        <v>0.25</v>
      </c>
      <c r="F416" s="184">
        <v>0.17499999999999999</v>
      </c>
      <c r="G416" s="432">
        <f t="shared" si="10"/>
        <v>0.14284374999999999</v>
      </c>
      <c r="H416" s="430"/>
      <c r="I416" s="164"/>
      <c r="J416" s="164"/>
      <c r="K416" s="165"/>
      <c r="L416" s="165"/>
      <c r="M416" s="165"/>
      <c r="N416" s="164"/>
      <c r="O416" s="164"/>
      <c r="P416" s="164"/>
      <c r="Q416" s="164"/>
      <c r="R416" s="164"/>
    </row>
    <row r="417" spans="1:18" s="149" customFormat="1" ht="15">
      <c r="A417" s="135"/>
      <c r="B417" s="568"/>
      <c r="C417" s="55">
        <v>1</v>
      </c>
      <c r="D417" s="184">
        <v>2.98</v>
      </c>
      <c r="E417" s="184">
        <v>0.25</v>
      </c>
      <c r="F417" s="184">
        <v>0.17499999999999999</v>
      </c>
      <c r="G417" s="432">
        <f t="shared" si="10"/>
        <v>0.13037499999999999</v>
      </c>
      <c r="H417" s="430"/>
      <c r="I417" s="164"/>
      <c r="J417" s="164"/>
      <c r="K417" s="165"/>
      <c r="L417" s="165"/>
      <c r="M417" s="165"/>
      <c r="N417" s="164"/>
      <c r="O417" s="164"/>
      <c r="P417" s="164"/>
      <c r="Q417" s="164"/>
      <c r="R417" s="164"/>
    </row>
    <row r="418" spans="1:18" s="149" customFormat="1" ht="15">
      <c r="A418" s="135"/>
      <c r="B418" s="568"/>
      <c r="C418" s="55">
        <v>1</v>
      </c>
      <c r="D418" s="184">
        <v>2.5049999999999999</v>
      </c>
      <c r="E418" s="184">
        <v>0.25</v>
      </c>
      <c r="F418" s="184">
        <v>0.17499999999999999</v>
      </c>
      <c r="G418" s="432">
        <f t="shared" si="10"/>
        <v>0.10959374999999999</v>
      </c>
      <c r="H418" s="430"/>
      <c r="I418" s="164"/>
      <c r="J418" s="164"/>
      <c r="K418" s="165"/>
      <c r="L418" s="165"/>
      <c r="M418" s="165"/>
      <c r="N418" s="164"/>
      <c r="O418" s="164"/>
      <c r="P418" s="164"/>
      <c r="Q418" s="164"/>
      <c r="R418" s="164"/>
    </row>
    <row r="419" spans="1:18" s="149" customFormat="1" ht="15">
      <c r="A419" s="135"/>
      <c r="B419" s="566"/>
      <c r="C419" s="55">
        <v>1</v>
      </c>
      <c r="D419" s="184">
        <v>2.93</v>
      </c>
      <c r="E419" s="184">
        <v>0.25</v>
      </c>
      <c r="F419" s="184">
        <v>0.17499999999999999</v>
      </c>
      <c r="G419" s="432">
        <f t="shared" si="10"/>
        <v>0.12818750000000001</v>
      </c>
      <c r="H419" s="430"/>
      <c r="I419" s="164"/>
      <c r="J419" s="164"/>
      <c r="K419" s="165"/>
      <c r="L419" s="165"/>
      <c r="M419" s="165"/>
      <c r="N419" s="164"/>
      <c r="O419" s="164"/>
      <c r="P419" s="164"/>
      <c r="Q419" s="164"/>
      <c r="R419" s="164"/>
    </row>
    <row r="420" spans="1:18" s="149" customFormat="1" ht="15">
      <c r="A420" s="135"/>
      <c r="B420" s="566"/>
      <c r="C420" s="55">
        <v>1</v>
      </c>
      <c r="D420" s="184">
        <v>3.68</v>
      </c>
      <c r="E420" s="184">
        <v>0.25</v>
      </c>
      <c r="F420" s="184">
        <v>0.17499999999999999</v>
      </c>
      <c r="G420" s="432">
        <f t="shared" si="10"/>
        <v>0.161</v>
      </c>
      <c r="H420" s="430"/>
      <c r="I420" s="164"/>
      <c r="J420" s="164"/>
      <c r="K420" s="165"/>
      <c r="L420" s="165"/>
      <c r="M420" s="165"/>
      <c r="N420" s="164"/>
      <c r="O420" s="164"/>
      <c r="P420" s="164"/>
      <c r="Q420" s="164"/>
      <c r="R420" s="164"/>
    </row>
    <row r="421" spans="1:18" s="149" customFormat="1" ht="15">
      <c r="A421" s="135"/>
      <c r="B421" s="566"/>
      <c r="C421" s="55">
        <v>4</v>
      </c>
      <c r="D421" s="184">
        <v>3.4449999999999998</v>
      </c>
      <c r="E421" s="184">
        <v>0.25</v>
      </c>
      <c r="F421" s="184">
        <v>0.17499999999999999</v>
      </c>
      <c r="G421" s="432">
        <f t="shared" si="10"/>
        <v>0.60287499999999994</v>
      </c>
      <c r="H421" s="430"/>
      <c r="I421" s="164"/>
      <c r="J421" s="164"/>
      <c r="K421" s="165"/>
      <c r="L421" s="165"/>
      <c r="M421" s="165"/>
      <c r="N421" s="164"/>
      <c r="O421" s="164"/>
      <c r="P421" s="164"/>
      <c r="Q421" s="164"/>
      <c r="R421" s="164"/>
    </row>
    <row r="422" spans="1:18" s="149" customFormat="1" ht="15">
      <c r="A422" s="135"/>
      <c r="B422" s="566"/>
      <c r="C422" s="55">
        <v>2</v>
      </c>
      <c r="D422" s="184">
        <v>3.2450000000000001</v>
      </c>
      <c r="E422" s="184">
        <v>0.25</v>
      </c>
      <c r="F422" s="184">
        <v>0.17499999999999999</v>
      </c>
      <c r="G422" s="432">
        <f t="shared" si="10"/>
        <v>0.28393750000000001</v>
      </c>
      <c r="H422" s="430"/>
      <c r="I422" s="164"/>
      <c r="J422" s="164"/>
      <c r="K422" s="165"/>
      <c r="L422" s="165"/>
      <c r="M422" s="165"/>
      <c r="N422" s="164"/>
      <c r="O422" s="164"/>
      <c r="P422" s="164"/>
      <c r="Q422" s="164"/>
      <c r="R422" s="164"/>
    </row>
    <row r="423" spans="1:18" s="149" customFormat="1" ht="15">
      <c r="A423" s="135"/>
      <c r="B423" s="566"/>
      <c r="C423" s="55">
        <v>16</v>
      </c>
      <c r="D423" s="184">
        <v>1.36</v>
      </c>
      <c r="E423" s="184">
        <v>0.125</v>
      </c>
      <c r="F423" s="184">
        <v>0.17499999999999999</v>
      </c>
      <c r="G423" s="432">
        <f t="shared" si="10"/>
        <v>0.47599999999999998</v>
      </c>
      <c r="H423" s="430"/>
      <c r="I423" s="164"/>
      <c r="J423" s="164"/>
      <c r="K423" s="165"/>
      <c r="L423" s="165"/>
      <c r="M423" s="165"/>
      <c r="N423" s="164"/>
      <c r="O423" s="164"/>
      <c r="P423" s="164"/>
      <c r="Q423" s="164"/>
      <c r="R423" s="164"/>
    </row>
    <row r="424" spans="1:18" s="149" customFormat="1" ht="15">
      <c r="A424" s="135"/>
      <c r="B424" s="566"/>
      <c r="C424" s="55">
        <v>8</v>
      </c>
      <c r="D424" s="184">
        <v>1.4650000000000001</v>
      </c>
      <c r="E424" s="184">
        <v>0.13</v>
      </c>
      <c r="F424" s="184">
        <v>0.17499999999999999</v>
      </c>
      <c r="G424" s="432">
        <f t="shared" si="10"/>
        <v>0.26663000000000003</v>
      </c>
      <c r="H424" s="430"/>
      <c r="I424" s="164"/>
      <c r="J424" s="164"/>
      <c r="K424" s="165"/>
      <c r="L424" s="165"/>
      <c r="M424" s="165"/>
      <c r="N424" s="164"/>
      <c r="O424" s="164"/>
      <c r="P424" s="164"/>
      <c r="Q424" s="164"/>
      <c r="R424" s="164"/>
    </row>
    <row r="425" spans="1:18" s="149" customFormat="1" ht="15">
      <c r="A425" s="135"/>
      <c r="B425" s="566"/>
      <c r="C425" s="55">
        <v>3</v>
      </c>
      <c r="D425" s="184">
        <v>3.14</v>
      </c>
      <c r="E425" s="184">
        <v>0.25</v>
      </c>
      <c r="F425" s="184">
        <f>0.375-0.125</f>
        <v>0.25</v>
      </c>
      <c r="G425" s="432">
        <f t="shared" si="10"/>
        <v>0.58875</v>
      </c>
      <c r="H425" s="430"/>
      <c r="I425" s="164"/>
      <c r="J425" s="164"/>
      <c r="K425" s="165"/>
      <c r="L425" s="165"/>
      <c r="M425" s="165"/>
      <c r="N425" s="164"/>
      <c r="O425" s="164"/>
      <c r="P425" s="164"/>
      <c r="Q425" s="164"/>
      <c r="R425" s="164"/>
    </row>
    <row r="426" spans="1:18" s="149" customFormat="1" ht="15">
      <c r="A426" s="135"/>
      <c r="B426" s="566"/>
      <c r="C426" s="55">
        <v>1</v>
      </c>
      <c r="D426" s="184">
        <v>4.5</v>
      </c>
      <c r="E426" s="184">
        <v>0.25</v>
      </c>
      <c r="F426" s="184">
        <v>0.25</v>
      </c>
      <c r="G426" s="432">
        <f t="shared" si="10"/>
        <v>0.28125</v>
      </c>
      <c r="H426" s="430"/>
      <c r="I426" s="164"/>
      <c r="J426" s="164"/>
      <c r="K426" s="165"/>
      <c r="L426" s="165"/>
      <c r="M426" s="165"/>
      <c r="N426" s="164"/>
      <c r="O426" s="164"/>
      <c r="P426" s="164"/>
      <c r="Q426" s="164"/>
      <c r="R426" s="164"/>
    </row>
    <row r="427" spans="1:18" s="149" customFormat="1" ht="15">
      <c r="A427" s="135"/>
      <c r="B427" s="566"/>
      <c r="C427" s="55">
        <v>1</v>
      </c>
      <c r="D427" s="184">
        <v>6.88</v>
      </c>
      <c r="E427" s="184">
        <v>0.25</v>
      </c>
      <c r="F427" s="184">
        <f>0.6-0.125</f>
        <v>0.47499999999999998</v>
      </c>
      <c r="G427" s="500">
        <f t="shared" si="10"/>
        <v>0.81699999999999995</v>
      </c>
      <c r="H427" s="430"/>
      <c r="I427" s="164"/>
      <c r="J427" s="164"/>
      <c r="K427" s="165"/>
      <c r="L427" s="165"/>
      <c r="M427" s="165"/>
      <c r="N427" s="164"/>
      <c r="O427" s="164"/>
      <c r="P427" s="164"/>
      <c r="Q427" s="164"/>
      <c r="R427" s="164"/>
    </row>
    <row r="428" spans="1:18" s="149" customFormat="1" ht="15">
      <c r="A428" s="135"/>
      <c r="B428" s="566"/>
      <c r="C428" s="55"/>
      <c r="D428" s="184"/>
      <c r="E428" s="184"/>
      <c r="F428" s="184"/>
      <c r="G428" s="432">
        <f>SUM(G367:G427)</f>
        <v>48.101067499999971</v>
      </c>
      <c r="H428" s="430"/>
      <c r="I428" s="164"/>
      <c r="J428" s="164"/>
      <c r="K428" s="165"/>
      <c r="L428" s="165"/>
      <c r="M428" s="165"/>
      <c r="N428" s="164"/>
      <c r="O428" s="164"/>
      <c r="P428" s="164"/>
      <c r="Q428" s="164"/>
      <c r="R428" s="164"/>
    </row>
    <row r="429" spans="1:18" s="149" customFormat="1" ht="15">
      <c r="A429" s="135"/>
      <c r="B429" s="566"/>
      <c r="C429" s="55"/>
      <c r="D429" s="184"/>
      <c r="E429" s="184"/>
      <c r="F429" s="184"/>
      <c r="G429" s="656">
        <f>G428*10%</f>
        <v>4.8101067499999974</v>
      </c>
      <c r="H429" s="503"/>
      <c r="I429" s="164"/>
      <c r="J429" s="164"/>
      <c r="K429" s="165"/>
      <c r="L429" s="165"/>
      <c r="M429" s="165"/>
      <c r="N429" s="164"/>
      <c r="O429" s="164"/>
      <c r="P429" s="164"/>
      <c r="Q429" s="164"/>
      <c r="R429" s="164"/>
    </row>
    <row r="430" spans="1:18" s="149" customFormat="1" ht="15">
      <c r="A430" s="135"/>
      <c r="B430" s="566"/>
      <c r="C430" s="186"/>
      <c r="D430" s="186"/>
      <c r="E430" s="186"/>
      <c r="F430" s="186"/>
      <c r="G430" s="551">
        <f>G429+G428</f>
        <v>52.911174249999966</v>
      </c>
      <c r="H430" s="642" t="s">
        <v>25</v>
      </c>
      <c r="I430" s="164"/>
      <c r="J430" s="164"/>
      <c r="K430" s="165"/>
      <c r="L430" s="165"/>
      <c r="M430" s="165"/>
      <c r="N430" s="164"/>
      <c r="O430" s="164"/>
      <c r="P430" s="164"/>
      <c r="Q430" s="164"/>
      <c r="R430" s="164"/>
    </row>
    <row r="431" spans="1:18" s="149" customFormat="1">
      <c r="A431" s="135"/>
      <c r="C431" s="186"/>
      <c r="D431" s="186"/>
      <c r="E431" s="186"/>
      <c r="F431" s="186"/>
      <c r="I431" s="164"/>
      <c r="J431" s="164"/>
      <c r="K431" s="165"/>
      <c r="L431" s="165"/>
      <c r="M431" s="165"/>
      <c r="N431" s="164"/>
      <c r="O431" s="164"/>
      <c r="P431" s="164"/>
      <c r="Q431" s="164"/>
      <c r="R431" s="164"/>
    </row>
    <row r="432" spans="1:18" s="149" customFormat="1" ht="15">
      <c r="A432" s="135"/>
      <c r="B432" s="566" t="s">
        <v>1214</v>
      </c>
      <c r="C432" s="55">
        <v>4</v>
      </c>
      <c r="D432" s="184">
        <v>4.4800000000000004</v>
      </c>
      <c r="E432" s="184">
        <v>0.25</v>
      </c>
      <c r="F432" s="184">
        <v>0.3</v>
      </c>
      <c r="G432" s="432">
        <f t="shared" ref="G432:G489" si="11">F432*E432*D432*C432</f>
        <v>1.3440000000000001</v>
      </c>
      <c r="H432" s="543"/>
      <c r="I432" s="164"/>
      <c r="J432" s="164"/>
      <c r="K432" s="165"/>
      <c r="L432" s="165"/>
      <c r="M432" s="165"/>
      <c r="N432" s="164"/>
      <c r="O432" s="164"/>
      <c r="P432" s="164"/>
      <c r="Q432" s="164"/>
      <c r="R432" s="164"/>
    </row>
    <row r="433" spans="1:18" s="149" customFormat="1" ht="15">
      <c r="A433" s="135"/>
      <c r="B433" s="566"/>
      <c r="C433" s="55">
        <v>2</v>
      </c>
      <c r="D433" s="184">
        <v>4.78</v>
      </c>
      <c r="E433" s="184">
        <v>0.25</v>
      </c>
      <c r="F433" s="184">
        <v>0.3</v>
      </c>
      <c r="G433" s="432">
        <f t="shared" si="11"/>
        <v>0.71699999999999997</v>
      </c>
      <c r="H433" s="543"/>
      <c r="I433" s="164"/>
      <c r="J433" s="164"/>
      <c r="K433" s="165"/>
      <c r="L433" s="165"/>
      <c r="M433" s="165"/>
      <c r="N433" s="164"/>
      <c r="O433" s="164"/>
      <c r="P433" s="164"/>
      <c r="Q433" s="164"/>
      <c r="R433" s="164"/>
    </row>
    <row r="434" spans="1:18" s="149" customFormat="1" ht="15">
      <c r="A434" s="135"/>
      <c r="B434" s="566"/>
      <c r="C434" s="55">
        <v>8</v>
      </c>
      <c r="D434" s="184">
        <v>3.5150000000000001</v>
      </c>
      <c r="E434" s="184">
        <v>0.25</v>
      </c>
      <c r="F434" s="184">
        <v>0.3</v>
      </c>
      <c r="G434" s="432">
        <f t="shared" si="11"/>
        <v>2.109</v>
      </c>
      <c r="H434" s="543"/>
      <c r="I434" s="164"/>
      <c r="J434" s="164"/>
      <c r="K434" s="165"/>
      <c r="L434" s="165"/>
      <c r="M434" s="165"/>
      <c r="N434" s="164"/>
      <c r="O434" s="164"/>
      <c r="P434" s="164"/>
      <c r="Q434" s="164"/>
      <c r="R434" s="164"/>
    </row>
    <row r="435" spans="1:18" s="149" customFormat="1" ht="15">
      <c r="A435" s="135"/>
      <c r="B435" s="566"/>
      <c r="C435" s="55">
        <v>4</v>
      </c>
      <c r="D435" s="184">
        <v>3.64</v>
      </c>
      <c r="E435" s="184">
        <v>0.25</v>
      </c>
      <c r="F435" s="184">
        <v>0.3</v>
      </c>
      <c r="G435" s="432">
        <f t="shared" si="11"/>
        <v>1.0920000000000001</v>
      </c>
      <c r="H435" s="543"/>
      <c r="I435" s="164"/>
      <c r="J435" s="164"/>
      <c r="K435" s="165"/>
      <c r="L435" s="165"/>
      <c r="M435" s="165"/>
      <c r="N435" s="164"/>
      <c r="O435" s="164"/>
      <c r="P435" s="164"/>
      <c r="Q435" s="164"/>
      <c r="R435" s="164"/>
    </row>
    <row r="436" spans="1:18" s="149" customFormat="1" ht="15">
      <c r="A436" s="135"/>
      <c r="B436" s="566"/>
      <c r="C436" s="55">
        <v>4</v>
      </c>
      <c r="D436" s="184">
        <v>3.54</v>
      </c>
      <c r="E436" s="184">
        <v>0.25</v>
      </c>
      <c r="F436" s="184">
        <v>0.3</v>
      </c>
      <c r="G436" s="432">
        <f t="shared" si="11"/>
        <v>1.0620000000000001</v>
      </c>
      <c r="H436" s="543"/>
      <c r="I436" s="164"/>
      <c r="J436" s="164"/>
      <c r="K436" s="165"/>
      <c r="L436" s="165"/>
      <c r="M436" s="165"/>
      <c r="N436" s="164"/>
      <c r="O436" s="164"/>
      <c r="P436" s="164"/>
      <c r="Q436" s="164"/>
      <c r="R436" s="164"/>
    </row>
    <row r="437" spans="1:18" s="149" customFormat="1" ht="15">
      <c r="A437" s="135"/>
      <c r="B437" s="566"/>
      <c r="C437" s="55">
        <v>4</v>
      </c>
      <c r="D437" s="184">
        <v>4.4800000000000004</v>
      </c>
      <c r="E437" s="184">
        <v>0.25</v>
      </c>
      <c r="F437" s="184">
        <v>0.3</v>
      </c>
      <c r="G437" s="432">
        <f t="shared" si="11"/>
        <v>1.3440000000000001</v>
      </c>
      <c r="H437" s="543"/>
      <c r="I437" s="164"/>
      <c r="J437" s="164"/>
      <c r="K437" s="165"/>
      <c r="L437" s="165"/>
      <c r="M437" s="165"/>
      <c r="N437" s="164"/>
      <c r="O437" s="164"/>
      <c r="P437" s="164"/>
      <c r="Q437" s="164"/>
      <c r="R437" s="164"/>
    </row>
    <row r="438" spans="1:18" s="149" customFormat="1" ht="15">
      <c r="A438" s="135"/>
      <c r="B438" s="566"/>
      <c r="C438" s="55">
        <v>4</v>
      </c>
      <c r="D438" s="184">
        <v>4.78</v>
      </c>
      <c r="E438" s="184">
        <v>0.25</v>
      </c>
      <c r="F438" s="184">
        <v>0.3</v>
      </c>
      <c r="G438" s="432">
        <f t="shared" si="11"/>
        <v>1.4339999999999999</v>
      </c>
      <c r="H438" s="543"/>
      <c r="I438" s="164"/>
      <c r="J438" s="164"/>
      <c r="K438" s="165"/>
      <c r="L438" s="165"/>
      <c r="M438" s="165"/>
      <c r="N438" s="164"/>
      <c r="O438" s="164"/>
      <c r="P438" s="164"/>
      <c r="Q438" s="164"/>
      <c r="R438" s="164"/>
    </row>
    <row r="439" spans="1:18" s="149" customFormat="1" ht="15">
      <c r="A439" s="135"/>
      <c r="B439" s="566"/>
      <c r="C439" s="55">
        <v>8</v>
      </c>
      <c r="D439" s="184">
        <v>2.4</v>
      </c>
      <c r="E439" s="184">
        <v>0.25</v>
      </c>
      <c r="F439" s="184">
        <v>0.3</v>
      </c>
      <c r="G439" s="432">
        <f t="shared" si="11"/>
        <v>1.44</v>
      </c>
      <c r="H439" s="543"/>
      <c r="I439" s="164"/>
      <c r="J439" s="164"/>
      <c r="K439" s="165"/>
      <c r="L439" s="165"/>
      <c r="M439" s="165"/>
      <c r="N439" s="164"/>
      <c r="O439" s="164"/>
      <c r="P439" s="164"/>
      <c r="Q439" s="164"/>
      <c r="R439" s="164"/>
    </row>
    <row r="440" spans="1:18" s="149" customFormat="1" ht="15">
      <c r="A440" s="135"/>
      <c r="B440" s="566"/>
      <c r="C440" s="55">
        <v>4</v>
      </c>
      <c r="D440" s="184">
        <v>4.7300000000000004</v>
      </c>
      <c r="E440" s="184">
        <v>0.25</v>
      </c>
      <c r="F440" s="184">
        <v>0.3</v>
      </c>
      <c r="G440" s="432">
        <f t="shared" si="11"/>
        <v>1.419</v>
      </c>
      <c r="H440" s="543"/>
      <c r="I440" s="164"/>
      <c r="J440" s="164"/>
      <c r="K440" s="165"/>
      <c r="L440" s="165"/>
      <c r="M440" s="165"/>
      <c r="N440" s="164"/>
      <c r="O440" s="164"/>
      <c r="P440" s="164"/>
      <c r="Q440" s="164"/>
      <c r="R440" s="164"/>
    </row>
    <row r="441" spans="1:18" s="149" customFormat="1" ht="15">
      <c r="A441" s="135"/>
      <c r="B441" s="566"/>
      <c r="C441" s="55">
        <v>4</v>
      </c>
      <c r="D441" s="184">
        <v>5.03</v>
      </c>
      <c r="E441" s="184">
        <v>0.25</v>
      </c>
      <c r="F441" s="184">
        <v>0.3</v>
      </c>
      <c r="G441" s="432">
        <f t="shared" si="11"/>
        <v>1.5090000000000001</v>
      </c>
      <c r="H441" s="543"/>
      <c r="I441" s="164"/>
      <c r="J441" s="164"/>
      <c r="K441" s="165"/>
      <c r="L441" s="165"/>
      <c r="M441" s="165"/>
      <c r="N441" s="164"/>
      <c r="O441" s="164"/>
      <c r="P441" s="164"/>
      <c r="Q441" s="164"/>
      <c r="R441" s="164"/>
    </row>
    <row r="442" spans="1:18" s="149" customFormat="1" ht="15">
      <c r="A442" s="135"/>
      <c r="B442" s="566"/>
      <c r="C442" s="55">
        <v>2</v>
      </c>
      <c r="D442" s="184">
        <v>5.3449999999999998</v>
      </c>
      <c r="E442" s="184">
        <v>0.25</v>
      </c>
      <c r="F442" s="184">
        <v>0.3</v>
      </c>
      <c r="G442" s="432">
        <f t="shared" si="11"/>
        <v>0.80174999999999996</v>
      </c>
      <c r="H442" s="543"/>
      <c r="I442" s="164"/>
      <c r="J442" s="164"/>
      <c r="K442" s="165"/>
      <c r="L442" s="165"/>
      <c r="M442" s="165"/>
      <c r="N442" s="164"/>
      <c r="O442" s="164"/>
      <c r="P442" s="164"/>
      <c r="Q442" s="164"/>
      <c r="R442" s="164"/>
    </row>
    <row r="443" spans="1:18" s="149" customFormat="1" ht="15">
      <c r="A443" s="135"/>
      <c r="B443" s="566"/>
      <c r="C443" s="55">
        <v>2</v>
      </c>
      <c r="D443" s="184">
        <v>5.7450000000000001</v>
      </c>
      <c r="E443" s="184">
        <v>0.25</v>
      </c>
      <c r="F443" s="184">
        <v>0.3</v>
      </c>
      <c r="G443" s="432">
        <f t="shared" si="11"/>
        <v>0.86175000000000002</v>
      </c>
      <c r="H443" s="543"/>
      <c r="I443" s="164"/>
      <c r="J443" s="164"/>
      <c r="K443" s="165"/>
      <c r="L443" s="165"/>
      <c r="M443" s="165"/>
      <c r="N443" s="164"/>
      <c r="O443" s="164"/>
      <c r="P443" s="164"/>
      <c r="Q443" s="164"/>
      <c r="R443" s="164"/>
    </row>
    <row r="444" spans="1:18" s="149" customFormat="1" ht="15">
      <c r="A444" s="135"/>
      <c r="B444" s="566"/>
      <c r="C444" s="55">
        <v>1</v>
      </c>
      <c r="D444" s="184">
        <v>5.34</v>
      </c>
      <c r="E444" s="184">
        <v>0.25</v>
      </c>
      <c r="F444" s="184">
        <v>0.3</v>
      </c>
      <c r="G444" s="432">
        <f t="shared" si="11"/>
        <v>0.40049999999999997</v>
      </c>
      <c r="H444" s="543"/>
      <c r="I444" s="164"/>
      <c r="J444" s="164"/>
      <c r="K444" s="165"/>
      <c r="L444" s="165"/>
      <c r="M444" s="165"/>
      <c r="N444" s="164"/>
      <c r="O444" s="164"/>
      <c r="P444" s="164"/>
      <c r="Q444" s="164"/>
      <c r="R444" s="164"/>
    </row>
    <row r="445" spans="1:18" s="149" customFormat="1" ht="15">
      <c r="A445" s="135"/>
      <c r="B445" s="566"/>
      <c r="C445" s="55">
        <v>6</v>
      </c>
      <c r="D445" s="184">
        <v>4.4800000000000004</v>
      </c>
      <c r="E445" s="184">
        <v>0.25</v>
      </c>
      <c r="F445" s="184">
        <v>0.3</v>
      </c>
      <c r="G445" s="432">
        <f t="shared" si="11"/>
        <v>2.016</v>
      </c>
      <c r="H445" s="543"/>
      <c r="I445" s="164"/>
      <c r="J445" s="164"/>
      <c r="K445" s="165"/>
      <c r="L445" s="165"/>
      <c r="M445" s="165"/>
      <c r="N445" s="164"/>
      <c r="O445" s="164"/>
      <c r="P445" s="164"/>
      <c r="Q445" s="164"/>
      <c r="R445" s="164"/>
    </row>
    <row r="446" spans="1:18" s="149" customFormat="1" ht="15">
      <c r="A446" s="135"/>
      <c r="B446" s="566"/>
      <c r="C446" s="55">
        <v>4</v>
      </c>
      <c r="D446" s="184">
        <v>4.78</v>
      </c>
      <c r="E446" s="184">
        <v>0.25</v>
      </c>
      <c r="F446" s="184">
        <v>0.3</v>
      </c>
      <c r="G446" s="432">
        <f t="shared" si="11"/>
        <v>1.4339999999999999</v>
      </c>
      <c r="H446" s="543"/>
      <c r="I446" s="164"/>
      <c r="J446" s="164"/>
      <c r="K446" s="165"/>
      <c r="L446" s="165"/>
      <c r="M446" s="165"/>
      <c r="N446" s="164"/>
      <c r="O446" s="164"/>
      <c r="P446" s="164"/>
      <c r="Q446" s="164"/>
      <c r="R446" s="164"/>
    </row>
    <row r="447" spans="1:18" s="149" customFormat="1" ht="15">
      <c r="A447" s="135"/>
      <c r="B447" s="566"/>
      <c r="C447" s="55">
        <v>1</v>
      </c>
      <c r="D447" s="184">
        <v>4.63</v>
      </c>
      <c r="E447" s="184">
        <v>0.25</v>
      </c>
      <c r="F447" s="184">
        <v>0.3</v>
      </c>
      <c r="G447" s="432">
        <f t="shared" si="11"/>
        <v>0.34725</v>
      </c>
      <c r="H447" s="543"/>
      <c r="I447" s="164"/>
      <c r="J447" s="164"/>
      <c r="K447" s="165"/>
      <c r="L447" s="165"/>
      <c r="M447" s="165"/>
      <c r="N447" s="164"/>
      <c r="O447" s="164"/>
      <c r="P447" s="164"/>
      <c r="Q447" s="164"/>
      <c r="R447" s="164"/>
    </row>
    <row r="448" spans="1:18" s="149" customFormat="1" ht="15">
      <c r="A448" s="135"/>
      <c r="B448" s="566"/>
      <c r="C448" s="55">
        <v>4</v>
      </c>
      <c r="D448" s="184">
        <v>1.1499999999999999</v>
      </c>
      <c r="E448" s="184">
        <v>0.25</v>
      </c>
      <c r="F448" s="184">
        <v>0.25</v>
      </c>
      <c r="G448" s="432">
        <f t="shared" si="11"/>
        <v>0.28749999999999998</v>
      </c>
      <c r="H448" s="543"/>
      <c r="I448" s="164"/>
      <c r="J448" s="164"/>
      <c r="K448" s="165"/>
      <c r="L448" s="165"/>
      <c r="M448" s="165"/>
      <c r="N448" s="164"/>
      <c r="O448" s="164"/>
      <c r="P448" s="164"/>
      <c r="Q448" s="164"/>
      <c r="R448" s="164"/>
    </row>
    <row r="449" spans="1:18" s="149" customFormat="1" ht="15">
      <c r="A449" s="135"/>
      <c r="B449" s="566"/>
      <c r="C449" s="55">
        <v>4</v>
      </c>
      <c r="D449" s="184">
        <v>3.6949999999999998</v>
      </c>
      <c r="E449" s="184">
        <v>0.25</v>
      </c>
      <c r="F449" s="184">
        <v>0.25</v>
      </c>
      <c r="G449" s="432">
        <f t="shared" si="11"/>
        <v>0.92374999999999996</v>
      </c>
      <c r="H449" s="543"/>
      <c r="I449" s="164"/>
      <c r="J449" s="164"/>
      <c r="K449" s="165"/>
      <c r="L449" s="165"/>
      <c r="M449" s="165"/>
      <c r="N449" s="164"/>
      <c r="O449" s="164"/>
      <c r="P449" s="164"/>
      <c r="Q449" s="164"/>
      <c r="R449" s="164"/>
    </row>
    <row r="450" spans="1:18" s="149" customFormat="1" ht="15">
      <c r="A450" s="135"/>
      <c r="B450" s="566"/>
      <c r="C450" s="55">
        <v>4</v>
      </c>
      <c r="D450" s="184">
        <v>3.2650000000000001</v>
      </c>
      <c r="E450" s="184">
        <v>0.25</v>
      </c>
      <c r="F450" s="184">
        <v>0.25</v>
      </c>
      <c r="G450" s="432">
        <f t="shared" si="11"/>
        <v>0.81625000000000003</v>
      </c>
      <c r="H450" s="543"/>
      <c r="I450" s="164"/>
      <c r="J450" s="164"/>
      <c r="K450" s="165"/>
      <c r="L450" s="165"/>
      <c r="M450" s="165"/>
      <c r="N450" s="164"/>
      <c r="O450" s="164"/>
      <c r="P450" s="164"/>
      <c r="Q450" s="164"/>
      <c r="R450" s="164"/>
    </row>
    <row r="451" spans="1:18" s="149" customFormat="1" ht="15">
      <c r="A451" s="135"/>
      <c r="B451" s="566"/>
      <c r="C451" s="55">
        <v>2</v>
      </c>
      <c r="D451" s="184">
        <v>3.04</v>
      </c>
      <c r="E451" s="184">
        <v>0.25</v>
      </c>
      <c r="F451" s="184">
        <v>0.25</v>
      </c>
      <c r="G451" s="432">
        <f t="shared" si="11"/>
        <v>0.38</v>
      </c>
      <c r="H451" s="543"/>
      <c r="I451" s="164"/>
      <c r="J451" s="164"/>
      <c r="K451" s="165"/>
      <c r="L451" s="165"/>
      <c r="M451" s="165"/>
      <c r="N451" s="164"/>
      <c r="O451" s="164"/>
      <c r="P451" s="164"/>
      <c r="Q451" s="164"/>
      <c r="R451" s="164"/>
    </row>
    <row r="452" spans="1:18" s="149" customFormat="1" ht="15">
      <c r="A452" s="135"/>
      <c r="B452" s="566"/>
      <c r="C452" s="55">
        <v>2</v>
      </c>
      <c r="D452" s="184">
        <v>2.93</v>
      </c>
      <c r="E452" s="184">
        <v>0.25</v>
      </c>
      <c r="F452" s="184">
        <v>0.25</v>
      </c>
      <c r="G452" s="432">
        <f t="shared" si="11"/>
        <v>0.36625000000000002</v>
      </c>
      <c r="H452" s="543"/>
      <c r="I452" s="164"/>
      <c r="J452" s="164"/>
      <c r="K452" s="165"/>
      <c r="L452" s="165"/>
      <c r="M452" s="165"/>
      <c r="N452" s="164"/>
      <c r="O452" s="164"/>
      <c r="P452" s="164"/>
      <c r="Q452" s="164"/>
      <c r="R452" s="164"/>
    </row>
    <row r="453" spans="1:18" s="149" customFormat="1" ht="15">
      <c r="A453" s="135"/>
      <c r="B453" s="566"/>
      <c r="C453" s="55">
        <v>1</v>
      </c>
      <c r="D453" s="184">
        <v>2.355</v>
      </c>
      <c r="E453" s="184">
        <v>0.25</v>
      </c>
      <c r="F453" s="184">
        <v>0.25</v>
      </c>
      <c r="G453" s="432">
        <f t="shared" si="11"/>
        <v>0.1471875</v>
      </c>
      <c r="H453" s="543"/>
      <c r="I453" s="164"/>
      <c r="J453" s="164"/>
      <c r="K453" s="165"/>
      <c r="L453" s="165"/>
      <c r="M453" s="165"/>
      <c r="N453" s="164"/>
      <c r="O453" s="164"/>
      <c r="P453" s="164"/>
      <c r="Q453" s="164"/>
      <c r="R453" s="164"/>
    </row>
    <row r="454" spans="1:18" s="149" customFormat="1" ht="15">
      <c r="A454" s="135"/>
      <c r="B454" s="566"/>
      <c r="C454" s="55">
        <v>2</v>
      </c>
      <c r="D454" s="184">
        <v>2.83</v>
      </c>
      <c r="E454" s="184">
        <v>0.25</v>
      </c>
      <c r="F454" s="184">
        <v>0.25</v>
      </c>
      <c r="G454" s="432">
        <f t="shared" si="11"/>
        <v>0.35375000000000001</v>
      </c>
      <c r="H454" s="543"/>
      <c r="I454" s="164"/>
      <c r="J454" s="164"/>
      <c r="K454" s="165"/>
      <c r="L454" s="165"/>
      <c r="M454" s="165"/>
      <c r="N454" s="164"/>
      <c r="O454" s="164"/>
      <c r="P454" s="164"/>
      <c r="Q454" s="164"/>
      <c r="R454" s="164"/>
    </row>
    <row r="455" spans="1:18" s="149" customFormat="1" ht="15">
      <c r="A455" s="135"/>
      <c r="B455" s="566"/>
      <c r="C455" s="55">
        <v>1</v>
      </c>
      <c r="D455" s="184">
        <v>4.5350000000000001</v>
      </c>
      <c r="E455" s="184">
        <v>0.25</v>
      </c>
      <c r="F455" s="184">
        <v>0.25</v>
      </c>
      <c r="G455" s="432">
        <f t="shared" si="11"/>
        <v>0.28343750000000001</v>
      </c>
      <c r="H455" s="543"/>
      <c r="I455" s="164"/>
      <c r="J455" s="164"/>
      <c r="K455" s="165"/>
      <c r="L455" s="165"/>
      <c r="M455" s="165"/>
      <c r="N455" s="164"/>
      <c r="O455" s="164"/>
      <c r="P455" s="164"/>
      <c r="Q455" s="164"/>
      <c r="R455" s="164"/>
    </row>
    <row r="456" spans="1:18" s="149" customFormat="1" ht="15">
      <c r="A456" s="135"/>
      <c r="B456" s="566"/>
      <c r="C456" s="55">
        <v>1</v>
      </c>
      <c r="D456" s="184">
        <v>4.9349999999999996</v>
      </c>
      <c r="E456" s="184">
        <v>0.25</v>
      </c>
      <c r="F456" s="184">
        <v>0.25</v>
      </c>
      <c r="G456" s="432">
        <f t="shared" si="11"/>
        <v>0.30843749999999998</v>
      </c>
      <c r="H456" s="543"/>
      <c r="I456" s="164"/>
      <c r="J456" s="164"/>
      <c r="K456" s="165"/>
      <c r="L456" s="165"/>
      <c r="M456" s="165"/>
      <c r="N456" s="164"/>
      <c r="O456" s="164"/>
      <c r="P456" s="164"/>
      <c r="Q456" s="164"/>
      <c r="R456" s="164"/>
    </row>
    <row r="457" spans="1:18" s="149" customFormat="1" ht="15">
      <c r="A457" s="135"/>
      <c r="B457" s="566"/>
      <c r="C457" s="55">
        <v>2</v>
      </c>
      <c r="D457" s="184">
        <v>4.2</v>
      </c>
      <c r="E457" s="184">
        <v>0.25</v>
      </c>
      <c r="F457" s="184">
        <v>0.25</v>
      </c>
      <c r="G457" s="432">
        <f t="shared" si="11"/>
        <v>0.52500000000000002</v>
      </c>
      <c r="H457" s="543"/>
      <c r="I457" s="164"/>
      <c r="J457" s="164"/>
      <c r="K457" s="165"/>
      <c r="L457" s="165"/>
      <c r="M457" s="165"/>
      <c r="N457" s="164"/>
      <c r="O457" s="164"/>
      <c r="P457" s="164"/>
      <c r="Q457" s="164"/>
      <c r="R457" s="164"/>
    </row>
    <row r="458" spans="1:18" s="149" customFormat="1" ht="15">
      <c r="A458" s="135"/>
      <c r="B458" s="566"/>
      <c r="C458" s="55">
        <v>2</v>
      </c>
      <c r="D458" s="184">
        <v>1.8</v>
      </c>
      <c r="E458" s="184">
        <v>0.25</v>
      </c>
      <c r="F458" s="184">
        <v>0.25</v>
      </c>
      <c r="G458" s="432">
        <f t="shared" si="11"/>
        <v>0.22500000000000001</v>
      </c>
      <c r="H458" s="543"/>
      <c r="I458" s="164"/>
      <c r="J458" s="164"/>
      <c r="K458" s="165"/>
      <c r="L458" s="165"/>
      <c r="M458" s="165"/>
      <c r="N458" s="164"/>
      <c r="O458" s="164"/>
      <c r="P458" s="164"/>
      <c r="Q458" s="164"/>
      <c r="R458" s="164"/>
    </row>
    <row r="459" spans="1:18" s="149" customFormat="1" ht="15">
      <c r="A459" s="135"/>
      <c r="B459" s="566"/>
      <c r="C459" s="55">
        <v>12</v>
      </c>
      <c r="D459" s="184">
        <v>3.4449999999999998</v>
      </c>
      <c r="E459" s="184">
        <v>0.25</v>
      </c>
      <c r="F459" s="184">
        <v>0.25</v>
      </c>
      <c r="G459" s="432">
        <f t="shared" si="11"/>
        <v>2.5837499999999998</v>
      </c>
      <c r="H459" s="543"/>
      <c r="I459" s="164"/>
      <c r="J459" s="164"/>
      <c r="K459" s="165"/>
      <c r="L459" s="165"/>
      <c r="M459" s="165"/>
      <c r="N459" s="164"/>
      <c r="O459" s="164"/>
      <c r="P459" s="164"/>
      <c r="Q459" s="164"/>
      <c r="R459" s="164"/>
    </row>
    <row r="460" spans="1:18" s="149" customFormat="1" ht="15">
      <c r="A460" s="135"/>
      <c r="B460" s="566"/>
      <c r="C460" s="55">
        <v>6</v>
      </c>
      <c r="D460" s="184">
        <v>3.2450000000000001</v>
      </c>
      <c r="E460" s="184">
        <v>0.25</v>
      </c>
      <c r="F460" s="184">
        <v>0.25</v>
      </c>
      <c r="G460" s="432">
        <f t="shared" si="11"/>
        <v>1.2168749999999999</v>
      </c>
      <c r="H460" s="543"/>
      <c r="I460" s="164"/>
      <c r="J460" s="164"/>
      <c r="K460" s="165"/>
      <c r="L460" s="165"/>
      <c r="M460" s="165"/>
      <c r="N460" s="164"/>
      <c r="O460" s="164"/>
      <c r="P460" s="164"/>
      <c r="Q460" s="164"/>
      <c r="R460" s="164"/>
    </row>
    <row r="461" spans="1:18" s="149" customFormat="1" ht="15">
      <c r="A461" s="135"/>
      <c r="B461" s="566"/>
      <c r="C461" s="55">
        <v>2</v>
      </c>
      <c r="D461" s="184">
        <v>3.55</v>
      </c>
      <c r="E461" s="184">
        <v>0.25</v>
      </c>
      <c r="F461" s="184">
        <v>0.25</v>
      </c>
      <c r="G461" s="432">
        <f t="shared" si="11"/>
        <v>0.44374999999999998</v>
      </c>
      <c r="H461" s="543"/>
      <c r="I461" s="164"/>
      <c r="J461" s="164"/>
      <c r="K461" s="165"/>
      <c r="L461" s="165"/>
      <c r="M461" s="165"/>
      <c r="N461" s="164"/>
      <c r="O461" s="164"/>
      <c r="P461" s="164"/>
      <c r="Q461" s="164"/>
      <c r="R461" s="164"/>
    </row>
    <row r="462" spans="1:18" s="149" customFormat="1" ht="15">
      <c r="A462" s="135"/>
      <c r="B462" s="566"/>
      <c r="C462" s="55">
        <v>8</v>
      </c>
      <c r="D462" s="184">
        <v>3.5150000000000001</v>
      </c>
      <c r="E462" s="184">
        <v>0.25</v>
      </c>
      <c r="F462" s="184">
        <v>0.25</v>
      </c>
      <c r="G462" s="432">
        <f t="shared" si="11"/>
        <v>1.7575000000000001</v>
      </c>
      <c r="H462" s="543"/>
      <c r="I462" s="164"/>
      <c r="J462" s="164"/>
      <c r="K462" s="165"/>
      <c r="L462" s="165"/>
      <c r="M462" s="165"/>
      <c r="N462" s="164"/>
      <c r="O462" s="164"/>
      <c r="P462" s="164"/>
      <c r="Q462" s="164"/>
      <c r="R462" s="164"/>
    </row>
    <row r="463" spans="1:18" s="149" customFormat="1" ht="15">
      <c r="A463" s="135"/>
      <c r="B463" s="566"/>
      <c r="C463" s="55">
        <v>4</v>
      </c>
      <c r="D463" s="184">
        <v>3.64</v>
      </c>
      <c r="E463" s="184">
        <v>0.25</v>
      </c>
      <c r="F463" s="184">
        <v>0.25</v>
      </c>
      <c r="G463" s="432">
        <f t="shared" si="11"/>
        <v>0.91</v>
      </c>
      <c r="H463" s="543"/>
      <c r="I463" s="164"/>
      <c r="J463" s="164"/>
      <c r="K463" s="165"/>
      <c r="L463" s="165"/>
      <c r="M463" s="165"/>
      <c r="N463" s="164"/>
      <c r="O463" s="164"/>
      <c r="P463" s="164"/>
      <c r="Q463" s="164"/>
      <c r="R463" s="164"/>
    </row>
    <row r="464" spans="1:18" s="149" customFormat="1" ht="15">
      <c r="A464" s="135"/>
      <c r="B464" s="566"/>
      <c r="C464" s="55">
        <v>4</v>
      </c>
      <c r="D464" s="184">
        <v>3.54</v>
      </c>
      <c r="E464" s="184">
        <v>0.25</v>
      </c>
      <c r="F464" s="184">
        <v>0.25</v>
      </c>
      <c r="G464" s="432">
        <f t="shared" si="11"/>
        <v>0.88500000000000001</v>
      </c>
      <c r="H464" s="543"/>
      <c r="I464" s="164"/>
      <c r="J464" s="164"/>
      <c r="K464" s="165"/>
      <c r="L464" s="165"/>
      <c r="M464" s="165"/>
      <c r="N464" s="164"/>
      <c r="O464" s="164"/>
      <c r="P464" s="164"/>
      <c r="Q464" s="164"/>
      <c r="R464" s="164"/>
    </row>
    <row r="465" spans="1:18" s="149" customFormat="1" ht="15">
      <c r="A465" s="135"/>
      <c r="B465" s="566"/>
      <c r="C465" s="55">
        <v>4</v>
      </c>
      <c r="D465" s="184">
        <v>4.4800000000000004</v>
      </c>
      <c r="E465" s="184">
        <v>0.25</v>
      </c>
      <c r="F465" s="184">
        <v>0.25</v>
      </c>
      <c r="G465" s="432">
        <f t="shared" si="11"/>
        <v>1.1200000000000001</v>
      </c>
      <c r="H465" s="543"/>
      <c r="I465" s="164"/>
      <c r="J465" s="164"/>
      <c r="K465" s="165"/>
      <c r="L465" s="165"/>
      <c r="M465" s="165"/>
      <c r="N465" s="164"/>
      <c r="O465" s="164"/>
      <c r="P465" s="164"/>
      <c r="Q465" s="164"/>
      <c r="R465" s="164"/>
    </row>
    <row r="466" spans="1:18" s="149" customFormat="1" ht="15">
      <c r="A466" s="135"/>
      <c r="B466" s="566"/>
      <c r="C466" s="55">
        <v>2</v>
      </c>
      <c r="D466" s="184">
        <v>4.78</v>
      </c>
      <c r="E466" s="184">
        <v>0.25</v>
      </c>
      <c r="F466" s="184">
        <v>0.25</v>
      </c>
      <c r="G466" s="432">
        <f t="shared" si="11"/>
        <v>0.59750000000000003</v>
      </c>
      <c r="H466" s="543"/>
      <c r="I466" s="164"/>
      <c r="J466" s="164"/>
      <c r="K466" s="165"/>
      <c r="L466" s="165"/>
      <c r="M466" s="165"/>
      <c r="N466" s="164"/>
      <c r="O466" s="164"/>
      <c r="P466" s="164"/>
      <c r="Q466" s="164"/>
      <c r="R466" s="164"/>
    </row>
    <row r="467" spans="1:18" s="149" customFormat="1" ht="15">
      <c r="A467" s="135"/>
      <c r="B467" s="566"/>
      <c r="C467" s="55">
        <v>8</v>
      </c>
      <c r="D467" s="184">
        <v>3.4449999999999998</v>
      </c>
      <c r="E467" s="184">
        <v>0.25</v>
      </c>
      <c r="F467" s="184">
        <v>0.25</v>
      </c>
      <c r="G467" s="432">
        <f t="shared" si="11"/>
        <v>1.7224999999999999</v>
      </c>
      <c r="H467" s="543"/>
      <c r="I467" s="164"/>
      <c r="J467" s="164"/>
      <c r="K467" s="165"/>
      <c r="L467" s="165"/>
      <c r="M467" s="165"/>
      <c r="N467" s="164"/>
      <c r="O467" s="164"/>
      <c r="P467" s="164"/>
      <c r="Q467" s="164"/>
      <c r="R467" s="164"/>
    </row>
    <row r="468" spans="1:18" s="149" customFormat="1" ht="15">
      <c r="A468" s="135"/>
      <c r="B468" s="566"/>
      <c r="C468" s="55">
        <v>4</v>
      </c>
      <c r="D468" s="184">
        <v>3.2450000000000001</v>
      </c>
      <c r="E468" s="184">
        <v>0.25</v>
      </c>
      <c r="F468" s="184">
        <v>0.25</v>
      </c>
      <c r="G468" s="432">
        <f t="shared" si="11"/>
        <v>0.81125000000000003</v>
      </c>
      <c r="H468" s="543"/>
      <c r="I468" s="164"/>
      <c r="J468" s="164"/>
      <c r="K468" s="165"/>
      <c r="L468" s="165"/>
      <c r="M468" s="165"/>
      <c r="N468" s="164"/>
      <c r="O468" s="164"/>
      <c r="P468" s="164"/>
      <c r="Q468" s="164"/>
      <c r="R468" s="164"/>
    </row>
    <row r="469" spans="1:18" s="149" customFormat="1" ht="15">
      <c r="A469" s="135"/>
      <c r="B469" s="566"/>
      <c r="C469" s="55">
        <v>3</v>
      </c>
      <c r="D469" s="184">
        <v>3.42</v>
      </c>
      <c r="E469" s="184">
        <v>0.25</v>
      </c>
      <c r="F469" s="184">
        <v>0.25</v>
      </c>
      <c r="G469" s="432">
        <f t="shared" si="11"/>
        <v>0.64124999999999999</v>
      </c>
      <c r="H469" s="543"/>
      <c r="I469" s="164"/>
      <c r="J469" s="164"/>
      <c r="K469" s="165"/>
      <c r="L469" s="165"/>
      <c r="M469" s="165"/>
      <c r="N469" s="164"/>
      <c r="O469" s="164"/>
      <c r="P469" s="164"/>
      <c r="Q469" s="164"/>
      <c r="R469" s="164"/>
    </row>
    <row r="470" spans="1:18" s="149" customFormat="1" ht="15">
      <c r="A470" s="135"/>
      <c r="B470" s="566"/>
      <c r="C470" s="55">
        <v>2</v>
      </c>
      <c r="D470" s="184">
        <v>4.5</v>
      </c>
      <c r="E470" s="184">
        <v>0.25</v>
      </c>
      <c r="F470" s="184">
        <v>0.25</v>
      </c>
      <c r="G470" s="432">
        <f t="shared" si="11"/>
        <v>0.5625</v>
      </c>
      <c r="H470" s="543"/>
      <c r="I470" s="164"/>
      <c r="J470" s="164"/>
      <c r="K470" s="165"/>
      <c r="L470" s="165"/>
      <c r="M470" s="165"/>
      <c r="N470" s="164"/>
      <c r="O470" s="164"/>
      <c r="P470" s="164"/>
      <c r="Q470" s="164"/>
      <c r="R470" s="164"/>
    </row>
    <row r="471" spans="1:18" s="149" customFormat="1" ht="15">
      <c r="A471" s="135"/>
      <c r="B471" s="566"/>
      <c r="C471" s="55">
        <v>2</v>
      </c>
      <c r="D471" s="184">
        <v>3.6949999999999998</v>
      </c>
      <c r="E471" s="184">
        <v>0.25</v>
      </c>
      <c r="F471" s="184">
        <v>0.25</v>
      </c>
      <c r="G471" s="432">
        <f t="shared" si="11"/>
        <v>0.46187499999999998</v>
      </c>
      <c r="H471" s="543"/>
      <c r="I471" s="164"/>
      <c r="J471" s="164"/>
      <c r="K471" s="165"/>
      <c r="L471" s="165"/>
      <c r="M471" s="165"/>
      <c r="N471" s="164"/>
      <c r="O471" s="164"/>
      <c r="P471" s="164"/>
      <c r="Q471" s="164"/>
      <c r="R471" s="164"/>
    </row>
    <row r="472" spans="1:18" s="149" customFormat="1" ht="15">
      <c r="A472" s="135"/>
      <c r="B472" s="566"/>
      <c r="C472" s="55">
        <v>1</v>
      </c>
      <c r="D472" s="184">
        <v>2.04</v>
      </c>
      <c r="E472" s="184">
        <v>0.25</v>
      </c>
      <c r="F472" s="184">
        <v>0.25</v>
      </c>
      <c r="G472" s="432">
        <f t="shared" si="11"/>
        <v>0.1275</v>
      </c>
      <c r="H472" s="543"/>
      <c r="I472" s="164"/>
      <c r="J472" s="164"/>
      <c r="K472" s="165"/>
      <c r="L472" s="165"/>
      <c r="M472" s="165"/>
      <c r="N472" s="164"/>
      <c r="O472" s="164"/>
      <c r="P472" s="164"/>
      <c r="Q472" s="164"/>
      <c r="R472" s="164"/>
    </row>
    <row r="473" spans="1:18" s="149" customFormat="1" ht="15">
      <c r="A473" s="135"/>
      <c r="B473" s="566"/>
      <c r="C473" s="55">
        <v>2</v>
      </c>
      <c r="D473" s="184">
        <v>4.2</v>
      </c>
      <c r="E473" s="184">
        <v>0.25</v>
      </c>
      <c r="F473" s="184">
        <v>0.2</v>
      </c>
      <c r="G473" s="432">
        <f t="shared" si="11"/>
        <v>0.42000000000000004</v>
      </c>
      <c r="H473" s="543"/>
      <c r="I473" s="164"/>
      <c r="J473" s="164"/>
      <c r="K473" s="165"/>
      <c r="L473" s="165"/>
      <c r="M473" s="165"/>
      <c r="N473" s="164"/>
      <c r="O473" s="164"/>
      <c r="P473" s="164"/>
      <c r="Q473" s="164"/>
      <c r="R473" s="164"/>
    </row>
    <row r="474" spans="1:18" s="149" customFormat="1" ht="15">
      <c r="A474" s="135"/>
      <c r="B474" s="566"/>
      <c r="C474" s="55">
        <v>11</v>
      </c>
      <c r="D474" s="184">
        <v>2.4</v>
      </c>
      <c r="E474" s="184">
        <v>0.25</v>
      </c>
      <c r="F474" s="184">
        <v>0.2</v>
      </c>
      <c r="G474" s="432">
        <f t="shared" si="11"/>
        <v>1.3199999999999998</v>
      </c>
      <c r="H474" s="543"/>
      <c r="I474" s="164"/>
      <c r="J474" s="164"/>
      <c r="K474" s="165"/>
      <c r="L474" s="165"/>
      <c r="M474" s="165"/>
      <c r="N474" s="164"/>
      <c r="O474" s="164"/>
      <c r="P474" s="164"/>
      <c r="Q474" s="164"/>
      <c r="R474" s="164"/>
    </row>
    <row r="475" spans="1:18" s="149" customFormat="1" ht="15">
      <c r="A475" s="135"/>
      <c r="B475" s="566"/>
      <c r="C475" s="55">
        <v>1</v>
      </c>
      <c r="D475" s="184">
        <v>4.2149999999999999</v>
      </c>
      <c r="E475" s="184">
        <v>0.25</v>
      </c>
      <c r="F475" s="184">
        <v>0.2</v>
      </c>
      <c r="G475" s="432">
        <f t="shared" si="11"/>
        <v>0.21074999999999999</v>
      </c>
      <c r="H475" s="543"/>
      <c r="I475" s="164"/>
      <c r="J475" s="164"/>
      <c r="K475" s="165"/>
      <c r="L475" s="165"/>
      <c r="M475" s="165"/>
      <c r="N475" s="164"/>
      <c r="O475" s="164"/>
      <c r="P475" s="164"/>
      <c r="Q475" s="164"/>
      <c r="R475" s="164"/>
    </row>
    <row r="476" spans="1:18" s="149" customFormat="1" ht="15">
      <c r="A476" s="135"/>
      <c r="B476" s="566"/>
      <c r="C476" s="55">
        <v>2</v>
      </c>
      <c r="D476" s="184">
        <v>3.55</v>
      </c>
      <c r="E476" s="184">
        <v>0.25</v>
      </c>
      <c r="F476" s="184">
        <v>0.2</v>
      </c>
      <c r="G476" s="432">
        <f t="shared" si="11"/>
        <v>0.35499999999999998</v>
      </c>
      <c r="H476" s="543"/>
      <c r="I476" s="164"/>
      <c r="J476" s="164"/>
      <c r="K476" s="165"/>
      <c r="L476" s="165"/>
      <c r="M476" s="165"/>
      <c r="N476" s="164"/>
      <c r="O476" s="164"/>
      <c r="P476" s="164"/>
      <c r="Q476" s="164"/>
      <c r="R476" s="164"/>
    </row>
    <row r="477" spans="1:18" s="149" customFormat="1" ht="15">
      <c r="A477" s="135"/>
      <c r="B477" s="566"/>
      <c r="C477" s="55">
        <v>2</v>
      </c>
      <c r="D477" s="184">
        <v>4.3550000000000004</v>
      </c>
      <c r="E477" s="184">
        <v>0.25</v>
      </c>
      <c r="F477" s="184">
        <v>0.2</v>
      </c>
      <c r="G477" s="432">
        <f t="shared" si="11"/>
        <v>0.43550000000000005</v>
      </c>
      <c r="H477" s="543"/>
      <c r="I477" s="164"/>
      <c r="J477" s="164"/>
      <c r="K477" s="165"/>
      <c r="L477" s="165"/>
      <c r="M477" s="165"/>
      <c r="N477" s="164"/>
      <c r="O477" s="164"/>
      <c r="P477" s="164"/>
      <c r="Q477" s="164"/>
      <c r="R477" s="164"/>
    </row>
    <row r="478" spans="1:18" s="149" customFormat="1" ht="15">
      <c r="A478" s="135"/>
      <c r="B478" s="566"/>
      <c r="C478" s="55">
        <v>1</v>
      </c>
      <c r="D478" s="184">
        <v>3.5950000000000002</v>
      </c>
      <c r="E478" s="184">
        <v>0.25</v>
      </c>
      <c r="F478" s="184">
        <v>0.2</v>
      </c>
      <c r="G478" s="432">
        <f t="shared" si="11"/>
        <v>0.17975000000000002</v>
      </c>
      <c r="H478" s="543"/>
      <c r="I478" s="164"/>
      <c r="J478" s="164"/>
      <c r="K478" s="165"/>
      <c r="L478" s="165"/>
      <c r="M478" s="165"/>
      <c r="N478" s="164"/>
      <c r="O478" s="164"/>
      <c r="P478" s="164"/>
      <c r="Q478" s="164"/>
      <c r="R478" s="164"/>
    </row>
    <row r="479" spans="1:18" s="149" customFormat="1" ht="15">
      <c r="A479" s="135"/>
      <c r="B479" s="566"/>
      <c r="C479" s="55">
        <v>1</v>
      </c>
      <c r="D479" s="184">
        <v>4.3499999999999996</v>
      </c>
      <c r="E479" s="184">
        <v>0.25</v>
      </c>
      <c r="F479" s="184">
        <v>0.2</v>
      </c>
      <c r="G479" s="432">
        <f t="shared" si="11"/>
        <v>0.2175</v>
      </c>
      <c r="H479" s="543"/>
      <c r="I479" s="164"/>
      <c r="J479" s="164"/>
      <c r="K479" s="165"/>
      <c r="L479" s="165"/>
      <c r="M479" s="165"/>
      <c r="N479" s="164"/>
      <c r="O479" s="164"/>
      <c r="P479" s="164"/>
      <c r="Q479" s="164"/>
      <c r="R479" s="164"/>
    </row>
    <row r="480" spans="1:18" s="149" customFormat="1" ht="15">
      <c r="A480" s="135"/>
      <c r="B480" s="566"/>
      <c r="C480" s="55">
        <v>1</v>
      </c>
      <c r="D480" s="184">
        <v>3.27</v>
      </c>
      <c r="E480" s="184">
        <v>0.25</v>
      </c>
      <c r="F480" s="184">
        <v>0.2</v>
      </c>
      <c r="G480" s="432">
        <f t="shared" si="11"/>
        <v>0.16350000000000001</v>
      </c>
      <c r="H480" s="543"/>
      <c r="I480" s="164"/>
      <c r="J480" s="164"/>
      <c r="K480" s="165"/>
      <c r="L480" s="165"/>
      <c r="M480" s="165"/>
      <c r="N480" s="164"/>
      <c r="O480" s="164"/>
      <c r="P480" s="164"/>
      <c r="Q480" s="164"/>
      <c r="R480" s="164"/>
    </row>
    <row r="481" spans="1:18" s="149" customFormat="1" ht="15">
      <c r="A481" s="135"/>
      <c r="B481" s="566"/>
      <c r="C481" s="55">
        <v>1</v>
      </c>
      <c r="D481" s="184">
        <v>3.2650000000000001</v>
      </c>
      <c r="E481" s="184">
        <v>0.25</v>
      </c>
      <c r="F481" s="184">
        <v>0.17499999999999999</v>
      </c>
      <c r="G481" s="432">
        <f t="shared" si="11"/>
        <v>0.14284374999999999</v>
      </c>
      <c r="H481" s="543"/>
      <c r="I481" s="164"/>
      <c r="J481" s="164"/>
      <c r="K481" s="165"/>
      <c r="L481" s="165"/>
      <c r="M481" s="165"/>
      <c r="N481" s="164"/>
      <c r="O481" s="164"/>
      <c r="P481" s="164"/>
      <c r="Q481" s="164"/>
      <c r="R481" s="164"/>
    </row>
    <row r="482" spans="1:18" s="149" customFormat="1" ht="15">
      <c r="A482" s="135"/>
      <c r="B482" s="566"/>
      <c r="C482" s="55">
        <v>1</v>
      </c>
      <c r="D482" s="184">
        <v>2.98</v>
      </c>
      <c r="E482" s="184">
        <v>0.25</v>
      </c>
      <c r="F482" s="184">
        <v>0.17499999999999999</v>
      </c>
      <c r="G482" s="432">
        <f t="shared" si="11"/>
        <v>0.13037499999999999</v>
      </c>
      <c r="H482" s="543"/>
      <c r="I482" s="164"/>
      <c r="J482" s="164"/>
      <c r="K482" s="165"/>
      <c r="L482" s="165"/>
      <c r="M482" s="165"/>
      <c r="N482" s="164"/>
      <c r="O482" s="164"/>
      <c r="P482" s="164"/>
      <c r="Q482" s="164"/>
      <c r="R482" s="164"/>
    </row>
    <row r="483" spans="1:18" s="149" customFormat="1" ht="15">
      <c r="A483" s="135"/>
      <c r="B483" s="566"/>
      <c r="C483" s="55">
        <v>1</v>
      </c>
      <c r="D483" s="184">
        <v>2.5049999999999999</v>
      </c>
      <c r="E483" s="184">
        <v>0.25</v>
      </c>
      <c r="F483" s="184">
        <v>0.17499999999999999</v>
      </c>
      <c r="G483" s="432">
        <f t="shared" si="11"/>
        <v>0.10959374999999999</v>
      </c>
      <c r="H483" s="543"/>
      <c r="I483" s="164"/>
      <c r="J483" s="164"/>
      <c r="K483" s="165"/>
      <c r="L483" s="165"/>
      <c r="M483" s="165"/>
      <c r="N483" s="164"/>
      <c r="O483" s="164"/>
      <c r="P483" s="164"/>
      <c r="Q483" s="164"/>
      <c r="R483" s="164"/>
    </row>
    <row r="484" spans="1:18" s="149" customFormat="1" ht="15">
      <c r="A484" s="135"/>
      <c r="B484" s="566"/>
      <c r="C484" s="55">
        <v>1</v>
      </c>
      <c r="D484" s="184">
        <v>2.93</v>
      </c>
      <c r="E484" s="184">
        <v>0.25</v>
      </c>
      <c r="F484" s="184">
        <v>0.17499999999999999</v>
      </c>
      <c r="G484" s="432">
        <f t="shared" si="11"/>
        <v>0.12818750000000001</v>
      </c>
      <c r="H484" s="543"/>
      <c r="I484" s="164"/>
      <c r="J484" s="164"/>
      <c r="K484" s="165"/>
      <c r="L484" s="165"/>
      <c r="M484" s="165"/>
      <c r="N484" s="164"/>
      <c r="O484" s="164"/>
      <c r="P484" s="164"/>
      <c r="Q484" s="164"/>
      <c r="R484" s="164"/>
    </row>
    <row r="485" spans="1:18" s="149" customFormat="1" ht="15">
      <c r="A485" s="135"/>
      <c r="B485" s="566"/>
      <c r="C485" s="55">
        <v>1</v>
      </c>
      <c r="D485" s="184">
        <v>3.68</v>
      </c>
      <c r="E485" s="184">
        <v>0.25</v>
      </c>
      <c r="F485" s="184">
        <v>0.17499999999999999</v>
      </c>
      <c r="G485" s="432">
        <f t="shared" si="11"/>
        <v>0.161</v>
      </c>
      <c r="H485" s="543"/>
      <c r="I485" s="164"/>
      <c r="J485" s="164"/>
      <c r="K485" s="165"/>
      <c r="L485" s="165"/>
      <c r="M485" s="165"/>
      <c r="N485" s="164"/>
      <c r="O485" s="164"/>
      <c r="P485" s="164"/>
      <c r="Q485" s="164"/>
      <c r="R485" s="164"/>
    </row>
    <row r="486" spans="1:18" s="149" customFormat="1" ht="15">
      <c r="A486" s="135"/>
      <c r="B486" s="566"/>
      <c r="C486" s="55">
        <v>4</v>
      </c>
      <c r="D486" s="184">
        <v>3.4449999999999998</v>
      </c>
      <c r="E486" s="184">
        <v>0.25</v>
      </c>
      <c r="F486" s="184">
        <v>0.17499999999999999</v>
      </c>
      <c r="G486" s="432">
        <f t="shared" si="11"/>
        <v>0.60287499999999994</v>
      </c>
      <c r="H486" s="543"/>
      <c r="I486" s="164"/>
      <c r="J486" s="164"/>
      <c r="K486" s="165"/>
      <c r="L486" s="165"/>
      <c r="M486" s="165"/>
      <c r="N486" s="164"/>
      <c r="O486" s="164"/>
      <c r="P486" s="164"/>
      <c r="Q486" s="164"/>
      <c r="R486" s="164"/>
    </row>
    <row r="487" spans="1:18" s="149" customFormat="1" ht="15">
      <c r="A487" s="135"/>
      <c r="B487" s="566"/>
      <c r="C487" s="55">
        <v>2</v>
      </c>
      <c r="D487" s="184">
        <v>3.2450000000000001</v>
      </c>
      <c r="E487" s="184">
        <v>0.25</v>
      </c>
      <c r="F487" s="184">
        <v>0.17499999999999999</v>
      </c>
      <c r="G487" s="432">
        <f t="shared" si="11"/>
        <v>0.28393750000000001</v>
      </c>
      <c r="H487" s="543"/>
      <c r="I487" s="164"/>
      <c r="J487" s="164"/>
      <c r="K487" s="165"/>
      <c r="L487" s="165"/>
      <c r="M487" s="165"/>
      <c r="N487" s="164"/>
      <c r="O487" s="164"/>
      <c r="P487" s="164"/>
      <c r="Q487" s="164"/>
      <c r="R487" s="164"/>
    </row>
    <row r="488" spans="1:18" s="149" customFormat="1" ht="15">
      <c r="A488" s="135"/>
      <c r="B488" s="566"/>
      <c r="C488" s="55">
        <v>16</v>
      </c>
      <c r="D488" s="184">
        <v>1.36</v>
      </c>
      <c r="E488" s="184">
        <v>0.125</v>
      </c>
      <c r="F488" s="184">
        <v>0.17499999999999999</v>
      </c>
      <c r="G488" s="432">
        <f t="shared" si="11"/>
        <v>0.47599999999999998</v>
      </c>
      <c r="H488" s="543"/>
      <c r="I488" s="164"/>
      <c r="J488" s="164"/>
      <c r="K488" s="165"/>
      <c r="L488" s="165"/>
      <c r="M488" s="165"/>
      <c r="N488" s="164"/>
      <c r="O488" s="164"/>
      <c r="P488" s="164"/>
      <c r="Q488" s="164"/>
      <c r="R488" s="164"/>
    </row>
    <row r="489" spans="1:18" s="149" customFormat="1" ht="15">
      <c r="A489" s="135"/>
      <c r="B489" s="566"/>
      <c r="C489" s="55">
        <v>8</v>
      </c>
      <c r="D489" s="184">
        <v>1.4650000000000001</v>
      </c>
      <c r="E489" s="184">
        <v>0.13</v>
      </c>
      <c r="F489" s="184">
        <v>0.17499999999999999</v>
      </c>
      <c r="G489" s="500">
        <f t="shared" si="11"/>
        <v>0.26663000000000003</v>
      </c>
      <c r="H489" s="543"/>
      <c r="I489" s="164"/>
      <c r="J489" s="164"/>
      <c r="K489" s="165"/>
      <c r="L489" s="165"/>
      <c r="M489" s="165"/>
      <c r="N489" s="164"/>
      <c r="O489" s="164"/>
      <c r="P489" s="164"/>
      <c r="Q489" s="164"/>
      <c r="R489" s="164"/>
    </row>
    <row r="490" spans="1:18" s="149" customFormat="1" ht="15">
      <c r="A490" s="135"/>
      <c r="B490" s="566"/>
      <c r="C490" s="55"/>
      <c r="D490" s="184"/>
      <c r="E490" s="184"/>
      <c r="F490" s="184"/>
      <c r="G490" s="432">
        <f>SUM(G432:G489)</f>
        <v>43.392504999999986</v>
      </c>
      <c r="H490" s="543"/>
      <c r="I490" s="164"/>
      <c r="J490" s="164"/>
      <c r="K490" s="165"/>
      <c r="L490" s="165"/>
      <c r="M490" s="165"/>
      <c r="N490" s="164"/>
      <c r="O490" s="164"/>
      <c r="P490" s="164"/>
      <c r="Q490" s="164"/>
      <c r="R490" s="164"/>
    </row>
    <row r="491" spans="1:18" s="149" customFormat="1" ht="15">
      <c r="A491" s="135"/>
      <c r="B491" s="566"/>
      <c r="C491" s="55"/>
      <c r="D491" s="184"/>
      <c r="E491" s="184"/>
      <c r="F491" s="184"/>
      <c r="G491" s="656">
        <f>G490*10%</f>
        <v>4.3392504999999986</v>
      </c>
      <c r="H491" s="503"/>
      <c r="I491" s="164"/>
      <c r="J491" s="164"/>
      <c r="K491" s="165"/>
      <c r="L491" s="165"/>
      <c r="M491" s="165"/>
      <c r="N491" s="164"/>
      <c r="O491" s="164"/>
      <c r="P491" s="164"/>
      <c r="Q491" s="164"/>
      <c r="R491" s="164"/>
    </row>
    <row r="492" spans="1:18" s="149" customFormat="1" ht="15">
      <c r="A492" s="135"/>
      <c r="B492" s="566"/>
      <c r="C492" s="186"/>
      <c r="D492" s="186"/>
      <c r="E492" s="186"/>
      <c r="F492" s="186"/>
      <c r="G492" s="551">
        <f>G491+G490</f>
        <v>47.731755499999984</v>
      </c>
      <c r="H492" s="642" t="s">
        <v>25</v>
      </c>
      <c r="I492" s="164"/>
      <c r="J492" s="164"/>
      <c r="K492" s="165"/>
      <c r="L492" s="165"/>
      <c r="M492" s="165"/>
      <c r="N492" s="164"/>
      <c r="O492" s="164"/>
      <c r="P492" s="164"/>
      <c r="Q492" s="164"/>
      <c r="R492" s="164"/>
    </row>
    <row r="493" spans="1:18" s="149" customFormat="1" ht="15">
      <c r="A493" s="135"/>
      <c r="B493" s="566"/>
      <c r="C493" s="186"/>
      <c r="D493" s="186"/>
      <c r="E493" s="186"/>
      <c r="F493" s="186"/>
      <c r="G493" s="521"/>
      <c r="H493" s="543"/>
      <c r="I493" s="164"/>
      <c r="J493" s="164"/>
      <c r="K493" s="165"/>
      <c r="L493" s="165"/>
      <c r="M493" s="165"/>
      <c r="N493" s="164"/>
      <c r="O493" s="164"/>
      <c r="P493" s="164"/>
      <c r="Q493" s="164"/>
      <c r="R493" s="164"/>
    </row>
    <row r="494" spans="1:18" s="149" customFormat="1" ht="15">
      <c r="A494" s="135"/>
      <c r="B494" s="566" t="s">
        <v>1161</v>
      </c>
      <c r="C494" s="186">
        <v>4</v>
      </c>
      <c r="D494" s="186">
        <v>3.6949999999999998</v>
      </c>
      <c r="E494" s="186">
        <v>0.25</v>
      </c>
      <c r="F494" s="53">
        <f>0.375-0.125</f>
        <v>0.25</v>
      </c>
      <c r="G494" s="539">
        <f>F494*E494*D494*C494</f>
        <v>0.92374999999999996</v>
      </c>
      <c r="H494" s="516"/>
      <c r="I494" s="164"/>
      <c r="J494" s="164"/>
      <c r="K494" s="165"/>
      <c r="L494" s="165"/>
      <c r="M494" s="165"/>
      <c r="N494" s="164"/>
      <c r="O494" s="164"/>
      <c r="P494" s="164"/>
      <c r="Q494" s="164"/>
      <c r="R494" s="164"/>
    </row>
    <row r="495" spans="1:18" s="149" customFormat="1" ht="15">
      <c r="A495" s="135"/>
      <c r="B495" s="566"/>
      <c r="C495" s="186">
        <v>2</v>
      </c>
      <c r="D495" s="186">
        <v>4.5350000000000001</v>
      </c>
      <c r="E495" s="186">
        <v>0.25</v>
      </c>
      <c r="F495" s="53">
        <f>0.375-0.125</f>
        <v>0.25</v>
      </c>
      <c r="G495" s="539">
        <f>F495*E495*D495*C495</f>
        <v>0.56687500000000002</v>
      </c>
      <c r="H495" s="516"/>
      <c r="I495" s="164"/>
      <c r="J495" s="164"/>
      <c r="K495" s="165"/>
      <c r="L495" s="165"/>
      <c r="M495" s="165"/>
      <c r="N495" s="164"/>
      <c r="O495" s="164"/>
      <c r="P495" s="164"/>
      <c r="Q495" s="164"/>
      <c r="R495" s="164"/>
    </row>
    <row r="496" spans="1:18" s="149" customFormat="1" ht="15">
      <c r="A496" s="135"/>
      <c r="B496" s="568"/>
      <c r="C496" s="186">
        <v>2</v>
      </c>
      <c r="D496" s="186">
        <v>5.3449999999999998</v>
      </c>
      <c r="E496" s="186">
        <v>0.25</v>
      </c>
      <c r="F496" s="53">
        <f>0.45-0.125</f>
        <v>0.32500000000000001</v>
      </c>
      <c r="G496" s="596">
        <f>F496*E496*D496*C496</f>
        <v>0.86856250000000002</v>
      </c>
      <c r="H496" s="516"/>
      <c r="I496" s="164"/>
      <c r="J496" s="164"/>
      <c r="K496" s="165"/>
      <c r="L496" s="165"/>
      <c r="M496" s="165"/>
      <c r="N496" s="164"/>
      <c r="O496" s="164"/>
      <c r="P496" s="164"/>
      <c r="Q496" s="164"/>
      <c r="R496" s="164"/>
    </row>
    <row r="497" spans="1:18" s="149" customFormat="1" ht="15">
      <c r="A497" s="135"/>
      <c r="B497" s="568"/>
      <c r="C497" s="186"/>
      <c r="D497" s="186"/>
      <c r="E497" s="186"/>
      <c r="F497" s="53"/>
      <c r="G497" s="590">
        <f>SUM(G494:G496)</f>
        <v>2.3591875</v>
      </c>
      <c r="H497" s="516"/>
      <c r="I497" s="164"/>
      <c r="J497" s="164"/>
      <c r="K497" s="165"/>
      <c r="L497" s="165"/>
      <c r="M497" s="165"/>
      <c r="N497" s="164"/>
      <c r="O497" s="164"/>
      <c r="P497" s="164"/>
      <c r="Q497" s="164"/>
      <c r="R497" s="164"/>
    </row>
    <row r="498" spans="1:18" s="149" customFormat="1" ht="15">
      <c r="A498" s="135"/>
      <c r="B498" s="568"/>
      <c r="C498" s="186"/>
      <c r="D498" s="186"/>
      <c r="E498" s="186"/>
      <c r="F498" s="53"/>
      <c r="G498" s="656">
        <f>G497*10%</f>
        <v>0.23591875000000001</v>
      </c>
      <c r="H498" s="503"/>
      <c r="I498" s="164"/>
      <c r="J498" s="164"/>
      <c r="K498" s="165"/>
      <c r="L498" s="165"/>
      <c r="M498" s="165"/>
      <c r="N498" s="164"/>
      <c r="O498" s="164"/>
      <c r="P498" s="164"/>
      <c r="Q498" s="164"/>
      <c r="R498" s="164"/>
    </row>
    <row r="499" spans="1:18" s="149" customFormat="1" ht="15">
      <c r="A499" s="135"/>
      <c r="B499" s="568"/>
      <c r="C499" s="121"/>
      <c r="E499" s="121"/>
      <c r="F499" s="121"/>
      <c r="G499" s="551">
        <f>G498+G497</f>
        <v>2.5951062500000002</v>
      </c>
      <c r="H499" s="642" t="s">
        <v>25</v>
      </c>
      <c r="I499" s="164"/>
      <c r="J499" s="164"/>
      <c r="K499" s="165"/>
      <c r="L499" s="165"/>
      <c r="M499" s="165"/>
      <c r="N499" s="164"/>
      <c r="O499" s="164"/>
      <c r="P499" s="164"/>
      <c r="Q499" s="164"/>
      <c r="R499" s="164"/>
    </row>
    <row r="500" spans="1:18" s="149" customFormat="1" ht="15">
      <c r="A500" s="135"/>
      <c r="B500" s="568"/>
      <c r="C500" s="121"/>
      <c r="E500" s="121"/>
      <c r="F500" s="121"/>
      <c r="G500" s="535"/>
      <c r="H500" s="570"/>
      <c r="I500" s="164"/>
      <c r="J500" s="164"/>
      <c r="K500" s="165"/>
      <c r="L500" s="165"/>
      <c r="M500" s="165"/>
      <c r="N500" s="164"/>
      <c r="O500" s="164"/>
      <c r="P500" s="164"/>
      <c r="Q500" s="164"/>
      <c r="R500" s="164"/>
    </row>
    <row r="501" spans="1:18" s="149" customFormat="1" ht="15">
      <c r="A501" s="135" t="s">
        <v>478</v>
      </c>
      <c r="B501" s="566" t="s">
        <v>626</v>
      </c>
      <c r="C501" s="121"/>
      <c r="D501" s="121"/>
      <c r="E501" s="121"/>
      <c r="F501" s="121"/>
      <c r="G501" s="521"/>
      <c r="H501" s="516"/>
      <c r="I501" s="164"/>
      <c r="J501" s="164"/>
      <c r="K501" s="165"/>
      <c r="L501" s="165"/>
      <c r="M501" s="165"/>
      <c r="N501" s="164"/>
      <c r="O501" s="164"/>
      <c r="P501" s="164"/>
      <c r="Q501" s="164"/>
      <c r="R501" s="164"/>
    </row>
    <row r="502" spans="1:18" s="149" customFormat="1" ht="15">
      <c r="A502" s="135"/>
      <c r="B502" s="566" t="s">
        <v>1051</v>
      </c>
      <c r="C502" s="113">
        <v>4</v>
      </c>
      <c r="D502" s="252">
        <v>5.28</v>
      </c>
      <c r="E502" s="252">
        <v>7.93</v>
      </c>
      <c r="F502" s="165">
        <v>0.125</v>
      </c>
      <c r="G502" s="432">
        <f>F502*E502*D502*C502</f>
        <v>20.935200000000002</v>
      </c>
      <c r="H502" s="527"/>
      <c r="I502" s="164"/>
      <c r="J502" s="164"/>
      <c r="K502" s="165"/>
      <c r="L502" s="165"/>
      <c r="M502" s="165"/>
      <c r="N502" s="164"/>
      <c r="O502" s="164"/>
      <c r="P502" s="164"/>
      <c r="Q502" s="164"/>
      <c r="R502" s="164"/>
    </row>
    <row r="503" spans="1:18" s="149" customFormat="1" ht="15">
      <c r="A503" s="135"/>
      <c r="B503" s="566"/>
      <c r="C503" s="113">
        <v>1</v>
      </c>
      <c r="D503" s="113">
        <v>27.375</v>
      </c>
      <c r="E503" s="113">
        <v>6.2450000000000001</v>
      </c>
      <c r="F503" s="165">
        <v>0.125</v>
      </c>
      <c r="G503" s="432">
        <f t="shared" ref="G503:G510" si="12">F503*E503*D503*C503</f>
        <v>21.369609375</v>
      </c>
      <c r="H503" s="166"/>
      <c r="I503" s="164"/>
      <c r="J503" s="164"/>
      <c r="K503" s="165"/>
      <c r="L503" s="165"/>
      <c r="M503" s="165"/>
      <c r="N503" s="164"/>
      <c r="O503" s="164"/>
      <c r="P503" s="164"/>
      <c r="Q503" s="164"/>
      <c r="R503" s="164"/>
    </row>
    <row r="504" spans="1:18" s="149" customFormat="1" ht="15">
      <c r="A504" s="135"/>
      <c r="B504" s="566"/>
      <c r="C504" s="113">
        <v>2</v>
      </c>
      <c r="D504" s="113">
        <v>21.7</v>
      </c>
      <c r="E504" s="113">
        <v>2.65</v>
      </c>
      <c r="F504" s="165">
        <v>0.125</v>
      </c>
      <c r="G504" s="432">
        <f t="shared" si="12"/>
        <v>14.376249999999999</v>
      </c>
      <c r="H504" s="166"/>
      <c r="I504" s="164"/>
      <c r="J504" s="164"/>
      <c r="K504" s="165"/>
      <c r="L504" s="165"/>
      <c r="M504" s="165"/>
      <c r="N504" s="164"/>
      <c r="O504" s="164"/>
      <c r="P504" s="164"/>
      <c r="Q504" s="164"/>
      <c r="R504" s="164"/>
    </row>
    <row r="505" spans="1:18" s="149" customFormat="1" ht="15">
      <c r="A505" s="135"/>
      <c r="B505" s="566"/>
      <c r="C505" s="113">
        <v>2</v>
      </c>
      <c r="D505" s="113">
        <v>8.18</v>
      </c>
      <c r="E505" s="113">
        <v>19.440000000000001</v>
      </c>
      <c r="F505" s="165">
        <v>0.125</v>
      </c>
      <c r="G505" s="432">
        <f t="shared" si="12"/>
        <v>39.754800000000003</v>
      </c>
      <c r="H505" s="166"/>
      <c r="I505" s="164"/>
      <c r="J505" s="164"/>
      <c r="K505" s="165"/>
      <c r="L505" s="165"/>
      <c r="M505" s="165"/>
      <c r="N505" s="164"/>
      <c r="O505" s="164"/>
      <c r="P505" s="164"/>
      <c r="Q505" s="164"/>
      <c r="R505" s="164"/>
    </row>
    <row r="506" spans="1:18" s="149" customFormat="1" ht="15">
      <c r="A506" s="135"/>
      <c r="B506" s="547"/>
      <c r="C506" s="113">
        <v>2</v>
      </c>
      <c r="D506" s="113">
        <v>5.03</v>
      </c>
      <c r="E506" s="55">
        <v>11.435</v>
      </c>
      <c r="F506" s="113">
        <v>0.125</v>
      </c>
      <c r="G506" s="432">
        <f t="shared" si="12"/>
        <v>14.379512500000001</v>
      </c>
      <c r="H506" s="588"/>
      <c r="I506" s="164"/>
      <c r="J506" s="164"/>
      <c r="K506" s="165"/>
      <c r="L506" s="165"/>
      <c r="M506" s="165"/>
      <c r="N506" s="164"/>
      <c r="O506" s="164"/>
      <c r="P506" s="164"/>
      <c r="Q506" s="164"/>
      <c r="R506" s="164"/>
    </row>
    <row r="507" spans="1:18" s="149" customFormat="1" ht="15">
      <c r="A507" s="135"/>
      <c r="B507" s="566"/>
      <c r="C507" s="113">
        <v>2</v>
      </c>
      <c r="D507" s="113">
        <v>15.38</v>
      </c>
      <c r="E507" s="55">
        <v>5.03</v>
      </c>
      <c r="F507" s="113">
        <v>0.125</v>
      </c>
      <c r="G507" s="432">
        <f t="shared" si="12"/>
        <v>19.340350000000001</v>
      </c>
      <c r="H507" s="637"/>
      <c r="I507" s="164"/>
      <c r="J507" s="164"/>
      <c r="K507" s="165"/>
      <c r="L507" s="165"/>
      <c r="M507" s="165"/>
      <c r="N507" s="164"/>
      <c r="O507" s="164"/>
      <c r="P507" s="164"/>
      <c r="Q507" s="164"/>
      <c r="R507" s="164"/>
    </row>
    <row r="508" spans="1:18" s="149" customFormat="1" ht="15">
      <c r="A508" s="135"/>
      <c r="B508" s="566"/>
      <c r="C508" s="113">
        <v>1</v>
      </c>
      <c r="D508" s="113">
        <v>4.5</v>
      </c>
      <c r="E508" s="55">
        <v>3.22</v>
      </c>
      <c r="F508" s="113">
        <v>0.125</v>
      </c>
      <c r="G508" s="432">
        <f t="shared" si="12"/>
        <v>1.81125</v>
      </c>
      <c r="H508" s="637"/>
      <c r="I508" s="164"/>
      <c r="J508" s="164"/>
      <c r="K508" s="165"/>
      <c r="L508" s="165"/>
      <c r="M508" s="165"/>
      <c r="N508" s="164"/>
      <c r="O508" s="164"/>
      <c r="P508" s="164"/>
      <c r="Q508" s="164"/>
      <c r="R508" s="164"/>
    </row>
    <row r="509" spans="1:18" s="149" customFormat="1" ht="15">
      <c r="A509" s="135"/>
      <c r="B509" s="566"/>
      <c r="C509" s="113">
        <v>1</v>
      </c>
      <c r="D509" s="113">
        <v>4.5</v>
      </c>
      <c r="E509" s="55">
        <v>2.06</v>
      </c>
      <c r="F509" s="113">
        <v>0.125</v>
      </c>
      <c r="G509" s="412">
        <f t="shared" si="12"/>
        <v>1.1587499999999999</v>
      </c>
      <c r="H509" s="637"/>
      <c r="I509" s="164"/>
      <c r="J509" s="164"/>
      <c r="K509" s="165"/>
      <c r="L509" s="165"/>
      <c r="M509" s="165"/>
      <c r="N509" s="164"/>
      <c r="O509" s="164"/>
      <c r="P509" s="164"/>
      <c r="Q509" s="164"/>
      <c r="R509" s="164"/>
    </row>
    <row r="510" spans="1:18" s="149" customFormat="1" ht="15">
      <c r="A510" s="135"/>
      <c r="B510" s="566"/>
      <c r="C510" s="186">
        <v>1</v>
      </c>
      <c r="D510" s="186">
        <v>8.08</v>
      </c>
      <c r="E510" s="53">
        <v>3.39</v>
      </c>
      <c r="F510" s="186">
        <v>0.125</v>
      </c>
      <c r="G510" s="596">
        <f t="shared" si="12"/>
        <v>3.4239000000000002</v>
      </c>
      <c r="H510" s="543"/>
      <c r="I510" s="164"/>
      <c r="J510" s="164"/>
      <c r="K510" s="165"/>
      <c r="L510" s="165"/>
      <c r="M510" s="165"/>
      <c r="N510" s="164"/>
      <c r="O510" s="164"/>
      <c r="P510" s="164"/>
      <c r="Q510" s="164"/>
      <c r="R510" s="164"/>
    </row>
    <row r="511" spans="1:18" s="149" customFormat="1" ht="15">
      <c r="A511" s="135"/>
      <c r="B511" s="566"/>
      <c r="C511" s="186"/>
      <c r="D511" s="186"/>
      <c r="E511" s="53"/>
      <c r="F511" s="186"/>
      <c r="G511" s="590">
        <f>SUM(G502:G510)</f>
        <v>136.54962187500001</v>
      </c>
      <c r="H511" s="543"/>
      <c r="I511" s="164"/>
      <c r="J511" s="164"/>
      <c r="K511" s="165"/>
      <c r="L511" s="165"/>
      <c r="M511" s="165"/>
      <c r="N511" s="164"/>
      <c r="O511" s="164"/>
      <c r="P511" s="164"/>
      <c r="Q511" s="164"/>
      <c r="R511" s="164"/>
    </row>
    <row r="512" spans="1:18" s="149" customFormat="1" ht="15">
      <c r="A512" s="135"/>
      <c r="B512" s="566"/>
      <c r="C512" s="186"/>
      <c r="D512" s="186"/>
      <c r="E512" s="53"/>
      <c r="F512" s="186"/>
      <c r="G512" s="656">
        <f>G511*10%</f>
        <v>13.654962187500002</v>
      </c>
      <c r="H512" s="503"/>
      <c r="I512" s="164"/>
      <c r="J512" s="164"/>
      <c r="K512" s="165"/>
      <c r="L512" s="165"/>
      <c r="M512" s="165"/>
      <c r="N512" s="164"/>
      <c r="O512" s="164"/>
      <c r="P512" s="164"/>
      <c r="Q512" s="164"/>
      <c r="R512" s="164"/>
    </row>
    <row r="513" spans="1:18" s="149" customFormat="1" ht="15">
      <c r="A513" s="135"/>
      <c r="B513" s="566"/>
      <c r="C513" s="186"/>
      <c r="D513" s="186"/>
      <c r="E513" s="53"/>
      <c r="F513" s="186"/>
      <c r="G513" s="551">
        <f>G512+G511</f>
        <v>150.2045840625</v>
      </c>
      <c r="H513" s="642" t="s">
        <v>25</v>
      </c>
      <c r="I513" s="164"/>
      <c r="J513" s="164"/>
      <c r="K513" s="165"/>
      <c r="L513" s="165"/>
      <c r="M513" s="165"/>
      <c r="N513" s="164"/>
      <c r="O513" s="164"/>
      <c r="P513" s="164"/>
      <c r="Q513" s="164"/>
      <c r="R513" s="164"/>
    </row>
    <row r="514" spans="1:18" s="149" customFormat="1" ht="15">
      <c r="A514" s="135"/>
      <c r="B514" s="566"/>
      <c r="C514" s="186"/>
      <c r="D514" s="186"/>
      <c r="E514" s="53"/>
      <c r="F514" s="186"/>
      <c r="G514" s="595"/>
      <c r="H514" s="543"/>
      <c r="I514" s="164"/>
      <c r="J514" s="164"/>
      <c r="K514" s="165"/>
      <c r="L514" s="165"/>
      <c r="M514" s="165"/>
      <c r="N514" s="164"/>
      <c r="O514" s="164"/>
      <c r="P514" s="164"/>
      <c r="Q514" s="164"/>
      <c r="R514" s="164"/>
    </row>
    <row r="515" spans="1:18" s="149" customFormat="1" ht="15">
      <c r="A515" s="135"/>
      <c r="B515" s="547" t="s">
        <v>1214</v>
      </c>
      <c r="C515" s="186">
        <v>4</v>
      </c>
      <c r="D515" s="252">
        <v>5.28</v>
      </c>
      <c r="E515" s="252">
        <v>7.93</v>
      </c>
      <c r="F515" s="165">
        <v>0.15</v>
      </c>
      <c r="G515" s="432">
        <f t="shared" ref="G515:G521" si="13">F515*E515*D515*C515</f>
        <v>25.122240000000001</v>
      </c>
      <c r="H515" s="543"/>
      <c r="I515" s="164"/>
      <c r="J515" s="164"/>
      <c r="K515" s="165"/>
      <c r="L515" s="165"/>
      <c r="M515" s="165"/>
      <c r="N515" s="164"/>
      <c r="O515" s="164"/>
      <c r="P515" s="164"/>
      <c r="Q515" s="164"/>
      <c r="R515" s="164"/>
    </row>
    <row r="516" spans="1:18" s="164" customFormat="1">
      <c r="A516" s="249"/>
      <c r="C516" s="113">
        <v>1</v>
      </c>
      <c r="D516" s="113">
        <v>10.965</v>
      </c>
      <c r="E516" s="113">
        <v>5.9950000000000001</v>
      </c>
      <c r="F516" s="165">
        <v>0.125</v>
      </c>
      <c r="G516" s="432">
        <f t="shared" si="13"/>
        <v>8.2168968749999998</v>
      </c>
      <c r="H516" s="527"/>
      <c r="J516" s="113"/>
      <c r="K516" s="113"/>
      <c r="L516" s="113"/>
      <c r="M516" s="165"/>
    </row>
    <row r="517" spans="1:18" s="164" customFormat="1" ht="15">
      <c r="A517" s="249"/>
      <c r="B517" s="547"/>
      <c r="C517" s="113">
        <v>4</v>
      </c>
      <c r="D517" s="113">
        <v>7.93</v>
      </c>
      <c r="E517" s="113">
        <v>4.4249999999999998</v>
      </c>
      <c r="F517" s="165">
        <v>0.125</v>
      </c>
      <c r="G517" s="432">
        <f t="shared" si="13"/>
        <v>17.545124999999999</v>
      </c>
      <c r="H517" s="527"/>
      <c r="J517" s="113"/>
      <c r="K517" s="113"/>
      <c r="L517" s="113"/>
      <c r="M517" s="165"/>
    </row>
    <row r="518" spans="1:18" s="164" customFormat="1" ht="15">
      <c r="A518" s="249"/>
      <c r="B518" s="547"/>
      <c r="C518" s="113">
        <v>2</v>
      </c>
      <c r="D518" s="113">
        <v>21.69</v>
      </c>
      <c r="E518" s="113">
        <v>2.9</v>
      </c>
      <c r="F518" s="165">
        <v>0.125</v>
      </c>
      <c r="G518" s="432">
        <f t="shared" si="13"/>
        <v>15.725250000000001</v>
      </c>
      <c r="H518" s="527"/>
      <c r="J518" s="113"/>
      <c r="K518" s="113"/>
      <c r="L518" s="113"/>
      <c r="M518" s="165"/>
    </row>
    <row r="519" spans="1:18" s="164" customFormat="1" ht="15">
      <c r="A519" s="249"/>
      <c r="B519" s="547"/>
      <c r="C519" s="113">
        <v>2</v>
      </c>
      <c r="D519" s="113">
        <v>13.21</v>
      </c>
      <c r="E519" s="113">
        <v>11.43</v>
      </c>
      <c r="F519" s="165">
        <v>0.125</v>
      </c>
      <c r="G519" s="432">
        <f t="shared" si="13"/>
        <v>37.747575000000005</v>
      </c>
      <c r="H519" s="527"/>
      <c r="J519" s="113"/>
      <c r="K519" s="113"/>
      <c r="L519" s="113"/>
      <c r="M519" s="165"/>
    </row>
    <row r="520" spans="1:18" s="164" customFormat="1" ht="15">
      <c r="A520" s="249"/>
      <c r="B520" s="547"/>
      <c r="C520" s="113">
        <v>2</v>
      </c>
      <c r="D520" s="113">
        <v>15.38</v>
      </c>
      <c r="E520" s="113">
        <v>5.28</v>
      </c>
      <c r="F520" s="165">
        <v>0.125</v>
      </c>
      <c r="G520" s="432">
        <f t="shared" si="13"/>
        <v>20.301600000000001</v>
      </c>
      <c r="H520" s="527"/>
      <c r="J520" s="113"/>
      <c r="K520" s="113"/>
      <c r="L520" s="113"/>
      <c r="M520" s="165"/>
    </row>
    <row r="521" spans="1:18" s="164" customFormat="1" ht="15">
      <c r="A521" s="249"/>
      <c r="B521" s="547"/>
      <c r="C521" s="113">
        <v>1</v>
      </c>
      <c r="D521" s="113">
        <v>4.5</v>
      </c>
      <c r="E521" s="113">
        <v>3.22</v>
      </c>
      <c r="F521" s="165">
        <v>0.125</v>
      </c>
      <c r="G521" s="500">
        <f t="shared" si="13"/>
        <v>1.81125</v>
      </c>
      <c r="H521" s="527"/>
      <c r="J521" s="113"/>
      <c r="K521" s="113"/>
      <c r="L521" s="113"/>
      <c r="M521" s="165"/>
    </row>
    <row r="522" spans="1:18" s="164" customFormat="1" ht="15">
      <c r="A522" s="249"/>
      <c r="B522" s="547"/>
      <c r="C522" s="113"/>
      <c r="D522" s="113"/>
      <c r="E522" s="113"/>
      <c r="F522" s="165"/>
      <c r="G522" s="432">
        <f>SUM(G515:G521)</f>
        <v>126.469936875</v>
      </c>
      <c r="H522" s="527"/>
      <c r="J522" s="113"/>
      <c r="K522" s="113"/>
      <c r="L522" s="113"/>
      <c r="M522" s="165"/>
    </row>
    <row r="523" spans="1:18" s="164" customFormat="1" ht="15">
      <c r="A523" s="249"/>
      <c r="B523" s="547"/>
      <c r="C523" s="113"/>
      <c r="D523" s="113"/>
      <c r="E523" s="113"/>
      <c r="F523" s="165"/>
      <c r="G523" s="656">
        <f>G522*10%</f>
        <v>12.6469936875</v>
      </c>
      <c r="H523" s="503"/>
      <c r="J523" s="113"/>
      <c r="K523" s="113"/>
      <c r="L523" s="113"/>
      <c r="M523" s="165"/>
    </row>
    <row r="524" spans="1:18" s="164" customFormat="1" ht="15">
      <c r="A524" s="249"/>
      <c r="B524" s="547"/>
      <c r="C524" s="113"/>
      <c r="D524" s="113"/>
      <c r="E524" s="113"/>
      <c r="F524" s="165"/>
      <c r="G524" s="551">
        <f>G523+G522</f>
        <v>139.11693056249999</v>
      </c>
      <c r="H524" s="642" t="s">
        <v>25</v>
      </c>
      <c r="J524" s="113"/>
      <c r="K524" s="113"/>
      <c r="L524" s="113"/>
      <c r="M524" s="165"/>
    </row>
    <row r="525" spans="1:18" s="149" customFormat="1" ht="15">
      <c r="A525" s="135"/>
      <c r="C525" s="121"/>
      <c r="D525" s="121"/>
      <c r="E525" s="121"/>
      <c r="F525" s="121"/>
      <c r="G525" s="521"/>
      <c r="H525" s="516"/>
      <c r="I525" s="164"/>
      <c r="J525" s="164"/>
      <c r="L525" s="121"/>
      <c r="M525" s="173"/>
      <c r="N525" s="165"/>
      <c r="O525" s="164"/>
      <c r="P525" s="164"/>
      <c r="Q525" s="164"/>
      <c r="R525" s="164"/>
    </row>
    <row r="526" spans="1:18" s="149" customFormat="1" ht="15">
      <c r="A526" s="135"/>
      <c r="C526" s="186">
        <v>2</v>
      </c>
      <c r="D526" s="186">
        <v>5.33</v>
      </c>
      <c r="E526" s="186">
        <v>3.94</v>
      </c>
      <c r="F526" s="186">
        <v>0.125</v>
      </c>
      <c r="G526" s="590">
        <f>F526*E526*D526*C526</f>
        <v>5.2500499999999999</v>
      </c>
      <c r="H526" s="543" t="s">
        <v>25</v>
      </c>
      <c r="I526" s="164"/>
      <c r="J526" s="164"/>
      <c r="L526" s="121"/>
      <c r="M526" s="173"/>
      <c r="N526" s="165"/>
      <c r="O526" s="164"/>
      <c r="P526" s="164"/>
      <c r="Q526" s="164"/>
      <c r="R526" s="164"/>
    </row>
    <row r="527" spans="1:18" s="149" customFormat="1">
      <c r="A527" s="135"/>
      <c r="C527" s="121"/>
      <c r="D527" s="121"/>
      <c r="E527" s="121"/>
      <c r="F527" s="121"/>
      <c r="G527" s="656">
        <f>G526*10%</f>
        <v>0.52500500000000005</v>
      </c>
      <c r="H527" s="503"/>
      <c r="I527" s="164"/>
      <c r="J527" s="164"/>
      <c r="L527" s="121"/>
      <c r="M527" s="173"/>
      <c r="N527" s="165"/>
      <c r="O527" s="164"/>
      <c r="P527" s="164"/>
      <c r="Q527" s="164"/>
      <c r="R527" s="164"/>
    </row>
    <row r="528" spans="1:18" s="149" customFormat="1" ht="15">
      <c r="A528" s="135"/>
      <c r="B528" s="566" t="s">
        <v>1161</v>
      </c>
      <c r="C528" s="186"/>
      <c r="D528" s="186"/>
      <c r="E528" s="186"/>
      <c r="F528" s="186"/>
      <c r="G528" s="551">
        <f>G527+G526</f>
        <v>5.775055</v>
      </c>
      <c r="H528" s="642" t="s">
        <v>25</v>
      </c>
      <c r="I528" s="164"/>
      <c r="J528" s="165"/>
      <c r="L528" s="121"/>
      <c r="M528" s="173"/>
      <c r="N528" s="165"/>
      <c r="O528" s="547"/>
      <c r="P528" s="164"/>
      <c r="Q528" s="164"/>
      <c r="R528" s="164"/>
    </row>
    <row r="529" spans="1:18" s="149" customFormat="1" ht="15">
      <c r="A529" s="135"/>
      <c r="B529" s="566"/>
      <c r="C529" s="186"/>
      <c r="D529" s="186"/>
      <c r="E529" s="186"/>
      <c r="F529" s="186"/>
      <c r="G529" s="590"/>
      <c r="H529" s="543"/>
      <c r="I529" s="164"/>
      <c r="J529" s="165"/>
      <c r="L529" s="121"/>
      <c r="M529" s="173"/>
      <c r="N529" s="165"/>
      <c r="O529" s="547"/>
      <c r="P529" s="164"/>
      <c r="Q529" s="164"/>
      <c r="R529" s="164"/>
    </row>
    <row r="530" spans="1:18" s="149" customFormat="1" ht="15">
      <c r="A530" s="135" t="s">
        <v>479</v>
      </c>
      <c r="B530" s="36" t="s">
        <v>1162</v>
      </c>
      <c r="C530" s="121"/>
      <c r="D530" s="121"/>
      <c r="E530" s="121"/>
      <c r="F530" s="121"/>
      <c r="G530" s="521"/>
      <c r="H530" s="516"/>
      <c r="I530" s="164"/>
      <c r="J530" s="164"/>
      <c r="L530" s="121"/>
      <c r="M530" s="173"/>
      <c r="N530" s="165"/>
      <c r="O530" s="164"/>
      <c r="P530" s="164"/>
      <c r="Q530" s="164"/>
      <c r="R530" s="164"/>
    </row>
    <row r="531" spans="1:18" s="149" customFormat="1" ht="15">
      <c r="A531" s="135"/>
      <c r="B531" s="36" t="s">
        <v>1051</v>
      </c>
      <c r="C531" s="121"/>
      <c r="D531" s="121"/>
      <c r="E531" s="121"/>
      <c r="F531" s="121"/>
      <c r="G531" s="521"/>
      <c r="H531" s="516"/>
      <c r="I531" s="164"/>
      <c r="J531" s="164"/>
      <c r="L531" s="121"/>
      <c r="M531" s="173"/>
      <c r="N531" s="165"/>
      <c r="O531" s="164"/>
      <c r="P531" s="164"/>
      <c r="Q531" s="164"/>
      <c r="R531" s="164"/>
    </row>
    <row r="532" spans="1:18" s="149" customFormat="1" ht="15">
      <c r="A532" s="135"/>
      <c r="B532" s="571" t="s">
        <v>1357</v>
      </c>
      <c r="C532" s="55">
        <v>16</v>
      </c>
      <c r="D532" s="184">
        <v>1.2</v>
      </c>
      <c r="E532" s="184">
        <v>0.25</v>
      </c>
      <c r="F532" s="56">
        <v>0.15</v>
      </c>
      <c r="G532" s="593">
        <f t="shared" ref="G532:G538" si="14">F532*E532*D532*C532</f>
        <v>0.72</v>
      </c>
      <c r="H532" s="516"/>
      <c r="I532" s="164"/>
      <c r="J532" s="184"/>
      <c r="K532" s="165"/>
      <c r="L532" s="121"/>
      <c r="M532" s="173"/>
      <c r="N532" s="165"/>
      <c r="O532" s="164"/>
      <c r="P532" s="164"/>
      <c r="Q532" s="164"/>
      <c r="R532" s="164"/>
    </row>
    <row r="533" spans="1:18" s="149" customFormat="1" ht="15">
      <c r="A533" s="135"/>
      <c r="B533" s="571" t="s">
        <v>1358</v>
      </c>
      <c r="C533" s="55">
        <v>7</v>
      </c>
      <c r="D533" s="184">
        <v>1.05</v>
      </c>
      <c r="E533" s="184">
        <v>0.25</v>
      </c>
      <c r="F533" s="56">
        <v>0.15</v>
      </c>
      <c r="G533" s="593">
        <f t="shared" si="14"/>
        <v>0.27562500000000001</v>
      </c>
      <c r="H533" s="516"/>
      <c r="I533" s="164"/>
      <c r="J533" s="184"/>
      <c r="K533" s="165"/>
      <c r="L533" s="165"/>
      <c r="M533" s="165"/>
      <c r="N533" s="164"/>
      <c r="O533" s="164"/>
      <c r="P533" s="164"/>
      <c r="Q533" s="164"/>
      <c r="R533" s="164"/>
    </row>
    <row r="534" spans="1:18" s="149" customFormat="1" ht="15">
      <c r="A534" s="135"/>
      <c r="B534" s="571" t="s">
        <v>1359</v>
      </c>
      <c r="C534" s="55">
        <v>33</v>
      </c>
      <c r="D534" s="184">
        <v>0.9</v>
      </c>
      <c r="E534" s="184">
        <v>0.125</v>
      </c>
      <c r="F534" s="56">
        <v>0.15</v>
      </c>
      <c r="G534" s="593">
        <f t="shared" si="14"/>
        <v>0.55687500000000001</v>
      </c>
      <c r="H534" s="516"/>
      <c r="I534" s="164"/>
      <c r="J534" s="184"/>
      <c r="K534" s="165"/>
      <c r="L534" s="165"/>
      <c r="M534" s="165"/>
      <c r="N534" s="164"/>
      <c r="O534" s="164"/>
      <c r="P534" s="164"/>
      <c r="Q534" s="164"/>
      <c r="R534" s="164"/>
    </row>
    <row r="535" spans="1:18" s="149" customFormat="1" ht="15">
      <c r="A535" s="135"/>
      <c r="B535" s="571" t="s">
        <v>1360</v>
      </c>
      <c r="C535" s="55">
        <v>3</v>
      </c>
      <c r="D535" s="184">
        <v>1.8</v>
      </c>
      <c r="E535" s="184">
        <v>0.25</v>
      </c>
      <c r="F535" s="56">
        <v>0.15</v>
      </c>
      <c r="G535" s="593">
        <f t="shared" si="14"/>
        <v>0.20250000000000001</v>
      </c>
      <c r="H535" s="516"/>
      <c r="I535" s="164"/>
      <c r="J535" s="184"/>
      <c r="K535" s="165"/>
      <c r="L535" s="165"/>
      <c r="M535" s="165"/>
      <c r="N535" s="164"/>
      <c r="O535" s="164"/>
      <c r="P535" s="164"/>
      <c r="Q535" s="164"/>
      <c r="R535" s="164"/>
    </row>
    <row r="536" spans="1:18" s="149" customFormat="1">
      <c r="A536" s="135"/>
      <c r="B536" s="149" t="s">
        <v>1224</v>
      </c>
      <c r="C536" s="55">
        <v>41</v>
      </c>
      <c r="D536" s="184">
        <v>1.5</v>
      </c>
      <c r="E536" s="184">
        <v>0.25</v>
      </c>
      <c r="F536" s="56">
        <v>0.15</v>
      </c>
      <c r="G536" s="593">
        <f t="shared" si="14"/>
        <v>2.3062499999999999</v>
      </c>
      <c r="H536" s="516"/>
      <c r="I536" s="164"/>
      <c r="J536" s="184"/>
      <c r="K536" s="165"/>
      <c r="L536" s="165"/>
      <c r="M536" s="165"/>
      <c r="N536" s="164"/>
      <c r="O536" s="164"/>
      <c r="P536" s="164"/>
      <c r="Q536" s="164"/>
      <c r="R536" s="164"/>
    </row>
    <row r="537" spans="1:18" s="149" customFormat="1">
      <c r="A537" s="135"/>
      <c r="B537" s="224" t="s">
        <v>1361</v>
      </c>
      <c r="C537" s="55">
        <v>6</v>
      </c>
      <c r="D537" s="184">
        <v>2.1</v>
      </c>
      <c r="E537" s="184">
        <v>0.25</v>
      </c>
      <c r="F537" s="56">
        <v>0.15</v>
      </c>
      <c r="G537" s="593">
        <f t="shared" si="14"/>
        <v>0.47250000000000003</v>
      </c>
      <c r="H537" s="516"/>
      <c r="I537" s="164"/>
      <c r="J537" s="184"/>
      <c r="K537" s="165"/>
      <c r="L537" s="165"/>
      <c r="M537" s="165"/>
      <c r="N537" s="164"/>
      <c r="O537" s="164"/>
      <c r="P537" s="164"/>
      <c r="Q537" s="164"/>
      <c r="R537" s="164"/>
    </row>
    <row r="538" spans="1:18" s="149" customFormat="1">
      <c r="A538" s="135"/>
      <c r="B538" s="20" t="s">
        <v>1362</v>
      </c>
      <c r="C538" s="55">
        <v>33</v>
      </c>
      <c r="D538" s="184">
        <v>0.9</v>
      </c>
      <c r="E538" s="184">
        <v>0.25</v>
      </c>
      <c r="F538" s="56">
        <v>0.15</v>
      </c>
      <c r="G538" s="593">
        <f t="shared" si="14"/>
        <v>1.11375</v>
      </c>
      <c r="H538" s="516"/>
      <c r="I538" s="164"/>
      <c r="J538" s="184"/>
      <c r="K538" s="165"/>
      <c r="L538" s="165"/>
      <c r="M538" s="165"/>
      <c r="N538" s="164"/>
      <c r="O538" s="164"/>
      <c r="P538" s="164"/>
      <c r="Q538" s="164"/>
      <c r="R538" s="164"/>
    </row>
    <row r="539" spans="1:18" s="149" customFormat="1">
      <c r="A539" s="135"/>
      <c r="B539" s="433" t="s">
        <v>1363</v>
      </c>
      <c r="C539" s="55">
        <v>4</v>
      </c>
      <c r="D539" s="184">
        <v>7.43</v>
      </c>
      <c r="E539" s="56">
        <v>0.15</v>
      </c>
      <c r="F539" s="56">
        <v>0.15</v>
      </c>
      <c r="G539" s="593">
        <f t="shared" ref="G539:G550" si="15">F539*E539*D539*C539</f>
        <v>0.66869999999999996</v>
      </c>
      <c r="H539" s="516"/>
      <c r="I539" s="164"/>
      <c r="J539" s="184"/>
      <c r="K539" s="165"/>
      <c r="L539" s="165"/>
      <c r="M539" s="165"/>
      <c r="N539" s="164"/>
      <c r="O539" s="164"/>
      <c r="P539" s="164"/>
      <c r="Q539" s="164"/>
      <c r="R539" s="164"/>
    </row>
    <row r="540" spans="1:18" s="149" customFormat="1">
      <c r="A540" s="135"/>
      <c r="B540" s="100"/>
      <c r="C540" s="55">
        <v>4</v>
      </c>
      <c r="D540" s="184">
        <v>2.5550000000000002</v>
      </c>
      <c r="E540" s="56">
        <v>0.15</v>
      </c>
      <c r="F540" s="56">
        <v>0.15</v>
      </c>
      <c r="G540" s="593">
        <f t="shared" si="15"/>
        <v>0.22995000000000002</v>
      </c>
      <c r="H540" s="516"/>
      <c r="I540" s="164"/>
      <c r="J540" s="184"/>
      <c r="K540" s="165"/>
      <c r="L540" s="165"/>
      <c r="M540" s="165"/>
      <c r="N540" s="164"/>
      <c r="O540" s="164"/>
      <c r="P540" s="164"/>
      <c r="Q540" s="164"/>
      <c r="R540" s="164"/>
    </row>
    <row r="541" spans="1:18" s="149" customFormat="1">
      <c r="A541" s="135"/>
      <c r="B541" s="100"/>
      <c r="C541" s="55">
        <v>20</v>
      </c>
      <c r="D541" s="184">
        <v>1.41</v>
      </c>
      <c r="E541" s="56">
        <v>0.15</v>
      </c>
      <c r="F541" s="56">
        <v>0.15</v>
      </c>
      <c r="G541" s="593">
        <f t="shared" si="15"/>
        <v>0.63449999999999995</v>
      </c>
      <c r="H541" s="516"/>
      <c r="I541" s="164"/>
      <c r="J541" s="184"/>
      <c r="K541" s="165"/>
      <c r="L541" s="165"/>
      <c r="M541" s="165"/>
      <c r="N541" s="164"/>
      <c r="O541" s="164"/>
      <c r="P541" s="164"/>
      <c r="Q541" s="164"/>
      <c r="R541" s="164"/>
    </row>
    <row r="542" spans="1:18" s="149" customFormat="1">
      <c r="A542" s="135"/>
      <c r="B542" s="100"/>
      <c r="C542" s="55">
        <v>8</v>
      </c>
      <c r="D542" s="184">
        <v>1.5649999999999999</v>
      </c>
      <c r="E542" s="56">
        <v>0.15</v>
      </c>
      <c r="F542" s="56">
        <v>0.15</v>
      </c>
      <c r="G542" s="593">
        <f t="shared" si="15"/>
        <v>0.28170000000000001</v>
      </c>
      <c r="H542" s="516"/>
      <c r="I542" s="164"/>
      <c r="J542" s="184"/>
      <c r="K542" s="165"/>
      <c r="L542" s="165"/>
      <c r="M542" s="165"/>
      <c r="N542" s="164"/>
      <c r="O542" s="164"/>
      <c r="P542" s="164"/>
      <c r="Q542" s="164"/>
      <c r="R542" s="164"/>
    </row>
    <row r="543" spans="1:18" s="149" customFormat="1">
      <c r="A543" s="135"/>
      <c r="B543" s="100"/>
      <c r="C543" s="55">
        <v>4</v>
      </c>
      <c r="D543" s="184">
        <v>1.7250000000000001</v>
      </c>
      <c r="E543" s="56">
        <v>0.15</v>
      </c>
      <c r="F543" s="56">
        <v>0.15</v>
      </c>
      <c r="G543" s="593">
        <f t="shared" si="15"/>
        <v>0.15525</v>
      </c>
      <c r="H543" s="516"/>
      <c r="I543" s="164"/>
      <c r="J543" s="184"/>
      <c r="K543" s="165"/>
      <c r="L543" s="165"/>
      <c r="M543" s="165"/>
      <c r="N543" s="164"/>
      <c r="O543" s="164"/>
      <c r="P543" s="164"/>
      <c r="Q543" s="164"/>
      <c r="R543" s="164"/>
    </row>
    <row r="544" spans="1:18" s="149" customFormat="1">
      <c r="A544" s="135"/>
      <c r="B544" s="100"/>
      <c r="C544" s="55">
        <v>1</v>
      </c>
      <c r="D544" s="184">
        <v>2.52</v>
      </c>
      <c r="E544" s="56">
        <v>0.15</v>
      </c>
      <c r="F544" s="56">
        <v>0.15</v>
      </c>
      <c r="G544" s="593">
        <f t="shared" si="15"/>
        <v>5.67E-2</v>
      </c>
      <c r="H544" s="516"/>
      <c r="I544" s="164"/>
      <c r="J544" s="184"/>
      <c r="K544" s="165"/>
      <c r="L544" s="165"/>
      <c r="M544" s="165"/>
      <c r="N544" s="164"/>
      <c r="O544" s="164"/>
      <c r="P544" s="164"/>
      <c r="Q544" s="164"/>
      <c r="R544" s="164"/>
    </row>
    <row r="545" spans="1:18" s="149" customFormat="1">
      <c r="A545" s="135"/>
      <c r="B545" s="100"/>
      <c r="C545" s="55">
        <v>1</v>
      </c>
      <c r="D545" s="184">
        <v>4.37</v>
      </c>
      <c r="E545" s="56">
        <v>0.15</v>
      </c>
      <c r="F545" s="56">
        <v>0.15</v>
      </c>
      <c r="G545" s="593">
        <f t="shared" si="15"/>
        <v>9.8324999999999996E-2</v>
      </c>
      <c r="H545" s="516"/>
      <c r="I545" s="164"/>
      <c r="J545" s="184"/>
      <c r="K545" s="165"/>
      <c r="L545" s="165"/>
      <c r="M545" s="165"/>
      <c r="N545" s="164"/>
      <c r="O545" s="164"/>
      <c r="P545" s="164"/>
      <c r="Q545" s="164"/>
      <c r="R545" s="164"/>
    </row>
    <row r="546" spans="1:18" s="149" customFormat="1">
      <c r="A546" s="135"/>
      <c r="B546" s="100"/>
      <c r="C546" s="55">
        <v>1</v>
      </c>
      <c r="D546" s="184">
        <v>2.0299999999999998</v>
      </c>
      <c r="E546" s="56">
        <v>0.15</v>
      </c>
      <c r="F546" s="56">
        <v>0.15</v>
      </c>
      <c r="G546" s="593">
        <f t="shared" si="15"/>
        <v>4.5674999999999993E-2</v>
      </c>
      <c r="H546" s="516"/>
      <c r="I546" s="164"/>
      <c r="J546" s="184"/>
      <c r="K546" s="165"/>
      <c r="L546" s="165"/>
      <c r="M546" s="165"/>
      <c r="N546" s="164"/>
      <c r="O546" s="164"/>
      <c r="P546" s="164"/>
      <c r="Q546" s="164"/>
      <c r="R546" s="164"/>
    </row>
    <row r="547" spans="1:18" s="149" customFormat="1">
      <c r="A547" s="135"/>
      <c r="B547" s="100"/>
      <c r="C547" s="55">
        <v>1</v>
      </c>
      <c r="D547" s="184">
        <v>1.905</v>
      </c>
      <c r="E547" s="56">
        <v>0.15</v>
      </c>
      <c r="F547" s="56">
        <v>0.15</v>
      </c>
      <c r="G547" s="593">
        <f t="shared" si="15"/>
        <v>4.2862499999999998E-2</v>
      </c>
      <c r="H547" s="516"/>
      <c r="I547" s="164"/>
      <c r="J547" s="184"/>
      <c r="K547" s="165"/>
      <c r="L547" s="165"/>
      <c r="M547" s="165"/>
      <c r="N547" s="164"/>
      <c r="O547" s="164"/>
      <c r="P547" s="164"/>
      <c r="Q547" s="164"/>
      <c r="R547" s="164"/>
    </row>
    <row r="548" spans="1:18" s="149" customFormat="1">
      <c r="A548" s="135"/>
      <c r="B548" s="100"/>
      <c r="C548" s="55">
        <v>1</v>
      </c>
      <c r="D548" s="184">
        <v>1.5249999999999999</v>
      </c>
      <c r="E548" s="56">
        <v>0.15</v>
      </c>
      <c r="F548" s="56">
        <v>0.15</v>
      </c>
      <c r="G548" s="593">
        <f t="shared" si="15"/>
        <v>3.4312499999999996E-2</v>
      </c>
      <c r="H548" s="516"/>
      <c r="I548" s="164"/>
      <c r="J548" s="184"/>
      <c r="K548" s="165"/>
      <c r="L548" s="165"/>
      <c r="M548" s="165"/>
      <c r="N548" s="164"/>
      <c r="O548" s="164"/>
      <c r="P548" s="164"/>
      <c r="Q548" s="164"/>
      <c r="R548" s="164"/>
    </row>
    <row r="549" spans="1:18" s="149" customFormat="1">
      <c r="A549" s="135"/>
      <c r="B549" s="100"/>
      <c r="C549" s="55">
        <v>1</v>
      </c>
      <c r="D549" s="184">
        <v>1.35</v>
      </c>
      <c r="E549" s="56">
        <v>0.15</v>
      </c>
      <c r="F549" s="56">
        <v>0.15</v>
      </c>
      <c r="G549" s="593">
        <f t="shared" si="15"/>
        <v>3.0374999999999999E-2</v>
      </c>
      <c r="H549" s="516"/>
      <c r="I549" s="164"/>
      <c r="J549" s="184"/>
      <c r="K549" s="165"/>
      <c r="L549" s="165"/>
      <c r="M549" s="165"/>
      <c r="N549" s="164"/>
      <c r="O549" s="164"/>
      <c r="P549" s="164"/>
      <c r="Q549" s="164"/>
      <c r="R549" s="164"/>
    </row>
    <row r="550" spans="1:18" s="149" customFormat="1">
      <c r="A550" s="135"/>
      <c r="B550" s="100"/>
      <c r="C550" s="55">
        <v>1</v>
      </c>
      <c r="D550" s="184">
        <v>2.2250000000000001</v>
      </c>
      <c r="E550" s="56">
        <v>0.15</v>
      </c>
      <c r="F550" s="56">
        <v>0.15</v>
      </c>
      <c r="G550" s="594">
        <f t="shared" si="15"/>
        <v>5.0062500000000003E-2</v>
      </c>
      <c r="H550" s="516"/>
      <c r="I550" s="164"/>
      <c r="J550" s="184"/>
      <c r="K550" s="165"/>
      <c r="L550" s="165"/>
      <c r="M550" s="165"/>
      <c r="N550" s="164"/>
      <c r="O550" s="164"/>
      <c r="P550" s="164"/>
      <c r="Q550" s="164"/>
      <c r="R550" s="164"/>
    </row>
    <row r="551" spans="1:18" s="149" customFormat="1">
      <c r="A551" s="135"/>
      <c r="B551" s="100"/>
      <c r="C551" s="55"/>
      <c r="D551" s="184"/>
      <c r="E551" s="56"/>
      <c r="F551" s="56"/>
      <c r="G551" s="593">
        <f>SUM(G532:G550)</f>
        <v>7.9759124999999997</v>
      </c>
      <c r="H551" s="516"/>
      <c r="I551" s="164"/>
      <c r="J551" s="184"/>
      <c r="K551" s="165"/>
      <c r="L551" s="165"/>
      <c r="M551" s="165"/>
      <c r="N551" s="164"/>
      <c r="O551" s="164"/>
      <c r="P551" s="164"/>
      <c r="Q551" s="164"/>
      <c r="R551" s="164"/>
    </row>
    <row r="552" spans="1:18" s="149" customFormat="1">
      <c r="A552" s="135"/>
      <c r="B552" s="100"/>
      <c r="C552" s="55"/>
      <c r="D552" s="184"/>
      <c r="E552" s="56"/>
      <c r="F552" s="56"/>
      <c r="G552" s="656">
        <f>G551*10%</f>
        <v>0.79759124999999997</v>
      </c>
      <c r="H552" s="503"/>
      <c r="I552" s="164"/>
      <c r="J552" s="184"/>
      <c r="K552" s="165"/>
      <c r="L552" s="165"/>
      <c r="M552" s="165"/>
      <c r="N552" s="164"/>
      <c r="O552" s="164"/>
      <c r="P552" s="164"/>
      <c r="Q552" s="164"/>
      <c r="R552" s="164"/>
    </row>
    <row r="553" spans="1:18" s="149" customFormat="1">
      <c r="A553" s="135"/>
      <c r="B553" s="36"/>
      <c r="C553" s="121"/>
      <c r="D553" s="121"/>
      <c r="E553" s="121"/>
      <c r="F553" s="121"/>
      <c r="G553" s="551">
        <f>G552+G551</f>
        <v>8.7735037499999997</v>
      </c>
      <c r="H553" s="642" t="s">
        <v>25</v>
      </c>
      <c r="I553" s="164"/>
      <c r="J553" s="164"/>
      <c r="K553" s="165"/>
      <c r="L553" s="165"/>
      <c r="M553" s="165"/>
      <c r="N553" s="164"/>
      <c r="O553" s="164"/>
      <c r="P553" s="164"/>
      <c r="Q553" s="164"/>
      <c r="R553" s="164"/>
    </row>
    <row r="554" spans="1:18" s="149" customFormat="1" ht="15">
      <c r="A554" s="135"/>
      <c r="B554" s="36"/>
      <c r="C554" s="121"/>
      <c r="D554" s="121"/>
      <c r="E554" s="121"/>
      <c r="F554" s="121"/>
      <c r="G554" s="535"/>
      <c r="H554" s="570"/>
      <c r="I554" s="164"/>
      <c r="J554" s="164"/>
      <c r="K554" s="165"/>
      <c r="L554" s="165"/>
      <c r="M554" s="165"/>
      <c r="N554" s="164"/>
      <c r="O554" s="164"/>
      <c r="P554" s="164"/>
      <c r="Q554" s="164"/>
      <c r="R554" s="164"/>
    </row>
    <row r="555" spans="1:18" s="149" customFormat="1" ht="15">
      <c r="A555" s="135"/>
      <c r="B555" s="36" t="s">
        <v>1214</v>
      </c>
      <c r="C555" s="121"/>
      <c r="D555" s="121"/>
      <c r="E555" s="121"/>
      <c r="F555" s="121"/>
      <c r="G555" s="521"/>
      <c r="H555" s="516"/>
      <c r="I555" s="164"/>
      <c r="J555" s="164"/>
      <c r="K555" s="165"/>
      <c r="L555" s="165"/>
      <c r="M555" s="165"/>
      <c r="N555" s="164"/>
      <c r="O555" s="164"/>
      <c r="P555" s="164"/>
      <c r="Q555" s="164"/>
      <c r="R555" s="164"/>
    </row>
    <row r="556" spans="1:18" s="149" customFormat="1">
      <c r="A556" s="135"/>
      <c r="B556" s="149" t="s">
        <v>1357</v>
      </c>
      <c r="C556" s="55">
        <v>17</v>
      </c>
      <c r="D556" s="184">
        <v>1.2</v>
      </c>
      <c r="E556" s="184">
        <v>0.25</v>
      </c>
      <c r="F556" s="184">
        <v>0.15</v>
      </c>
      <c r="G556" s="593">
        <f>K556*J556*D556*C556</f>
        <v>0</v>
      </c>
      <c r="H556" s="516"/>
      <c r="I556" s="164"/>
      <c r="J556" s="184"/>
      <c r="K556" s="184"/>
      <c r="L556" s="165"/>
      <c r="M556" s="165"/>
      <c r="N556" s="164"/>
      <c r="O556" s="164"/>
      <c r="P556" s="164"/>
      <c r="Q556" s="164"/>
      <c r="R556" s="164"/>
    </row>
    <row r="557" spans="1:18" s="149" customFormat="1">
      <c r="A557" s="135"/>
      <c r="B557" s="149" t="s">
        <v>1358</v>
      </c>
      <c r="C557" s="55">
        <v>3</v>
      </c>
      <c r="D557" s="184">
        <v>1.05</v>
      </c>
      <c r="E557" s="184">
        <v>0.25</v>
      </c>
      <c r="F557" s="184">
        <v>0.15</v>
      </c>
      <c r="G557" s="593">
        <f>K557*J557*D557*C557</f>
        <v>0</v>
      </c>
      <c r="H557" s="516"/>
      <c r="I557" s="164"/>
      <c r="J557" s="184"/>
      <c r="K557" s="184"/>
      <c r="L557" s="165"/>
      <c r="M557" s="165"/>
      <c r="N557" s="164"/>
      <c r="O557" s="164"/>
      <c r="P557" s="164"/>
      <c r="Q557" s="164"/>
      <c r="R557" s="164"/>
    </row>
    <row r="558" spans="1:18" s="149" customFormat="1">
      <c r="A558" s="135"/>
      <c r="B558" s="149" t="s">
        <v>1359</v>
      </c>
      <c r="C558" s="55">
        <v>33</v>
      </c>
      <c r="D558" s="184">
        <v>0.9</v>
      </c>
      <c r="E558" s="184">
        <v>0.125</v>
      </c>
      <c r="F558" s="184">
        <v>0.15</v>
      </c>
      <c r="G558" s="593">
        <f>K558*J558*D558*C558</f>
        <v>0</v>
      </c>
      <c r="H558" s="516"/>
      <c r="I558" s="164"/>
      <c r="J558" s="184"/>
      <c r="K558" s="184"/>
      <c r="L558" s="165"/>
      <c r="M558" s="165"/>
      <c r="N558" s="164"/>
      <c r="O558" s="164"/>
      <c r="P558" s="164"/>
      <c r="Q558" s="164"/>
      <c r="R558" s="164"/>
    </row>
    <row r="559" spans="1:18" s="164" customFormat="1">
      <c r="A559" s="249"/>
      <c r="B559" s="149" t="s">
        <v>1224</v>
      </c>
      <c r="C559" s="55">
        <v>40</v>
      </c>
      <c r="D559" s="184">
        <v>1.5</v>
      </c>
      <c r="E559" s="184">
        <v>0.25</v>
      </c>
      <c r="F559" s="184">
        <v>0.15</v>
      </c>
      <c r="G559" s="593">
        <f t="shared" ref="G559:G568" si="16">F559*E559*D559*C559</f>
        <v>2.25</v>
      </c>
      <c r="H559" s="527"/>
      <c r="K559" s="165"/>
      <c r="L559" s="165"/>
      <c r="M559" s="165"/>
    </row>
    <row r="560" spans="1:18" s="149" customFormat="1">
      <c r="A560" s="135"/>
      <c r="B560" s="224" t="s">
        <v>1361</v>
      </c>
      <c r="C560" s="55">
        <v>3</v>
      </c>
      <c r="D560" s="184">
        <v>2.1</v>
      </c>
      <c r="E560" s="184">
        <v>0.25</v>
      </c>
      <c r="F560" s="184">
        <v>0.15</v>
      </c>
      <c r="G560" s="593">
        <f t="shared" si="16"/>
        <v>0.23625000000000002</v>
      </c>
      <c r="H560" s="516"/>
      <c r="I560" s="164"/>
      <c r="J560" s="164"/>
      <c r="K560" s="165"/>
      <c r="L560" s="165"/>
      <c r="M560" s="165"/>
      <c r="N560" s="164"/>
      <c r="O560" s="164"/>
      <c r="P560" s="164"/>
      <c r="Q560" s="164"/>
      <c r="R560" s="164"/>
    </row>
    <row r="561" spans="1:18" s="149" customFormat="1">
      <c r="A561" s="135"/>
      <c r="B561" s="20" t="s">
        <v>1362</v>
      </c>
      <c r="C561" s="55">
        <v>33</v>
      </c>
      <c r="D561" s="184">
        <v>0.9</v>
      </c>
      <c r="E561" s="184">
        <v>0.25</v>
      </c>
      <c r="F561" s="184">
        <v>0.15</v>
      </c>
      <c r="G561" s="593">
        <f t="shared" si="16"/>
        <v>1.11375</v>
      </c>
      <c r="H561" s="516"/>
      <c r="I561" s="164"/>
      <c r="J561" s="164"/>
      <c r="K561" s="165"/>
      <c r="L561" s="165"/>
      <c r="M561" s="165"/>
      <c r="N561" s="164"/>
      <c r="O561" s="164"/>
      <c r="P561" s="164"/>
      <c r="Q561" s="164"/>
      <c r="R561" s="164"/>
    </row>
    <row r="562" spans="1:18" s="149" customFormat="1">
      <c r="A562" s="135"/>
      <c r="B562" s="433" t="s">
        <v>1363</v>
      </c>
      <c r="C562" s="55">
        <v>4</v>
      </c>
      <c r="D562" s="184">
        <v>7.43</v>
      </c>
      <c r="E562" s="56">
        <v>0.125</v>
      </c>
      <c r="F562" s="184">
        <v>0.15</v>
      </c>
      <c r="G562" s="593">
        <f t="shared" si="16"/>
        <v>0.55724999999999991</v>
      </c>
      <c r="H562" s="516"/>
      <c r="I562" s="164"/>
      <c r="J562" s="164"/>
      <c r="K562" s="165"/>
      <c r="L562" s="165"/>
      <c r="M562" s="165"/>
      <c r="N562" s="164"/>
      <c r="O562" s="164"/>
      <c r="P562" s="164"/>
      <c r="Q562" s="164"/>
      <c r="R562" s="164"/>
    </row>
    <row r="563" spans="1:18" s="149" customFormat="1">
      <c r="A563" s="135"/>
      <c r="B563" s="100"/>
      <c r="C563" s="55">
        <v>4</v>
      </c>
      <c r="D563" s="184">
        <v>2.5550000000000002</v>
      </c>
      <c r="E563" s="56">
        <v>0.125</v>
      </c>
      <c r="F563" s="184">
        <v>0.15</v>
      </c>
      <c r="G563" s="593">
        <f t="shared" si="16"/>
        <v>0.19162500000000002</v>
      </c>
      <c r="H563" s="516"/>
      <c r="I563" s="164"/>
      <c r="J563" s="164"/>
      <c r="K563" s="165"/>
      <c r="L563" s="165"/>
      <c r="M563" s="165"/>
      <c r="N563" s="164"/>
      <c r="O563" s="164"/>
      <c r="P563" s="164"/>
      <c r="Q563" s="164"/>
      <c r="R563" s="164"/>
    </row>
    <row r="564" spans="1:18" s="149" customFormat="1">
      <c r="A564" s="135"/>
      <c r="B564" s="100"/>
      <c r="C564" s="55">
        <v>20</v>
      </c>
      <c r="D564" s="184">
        <v>1.41</v>
      </c>
      <c r="E564" s="56">
        <v>0.125</v>
      </c>
      <c r="F564" s="184">
        <v>0.15</v>
      </c>
      <c r="G564" s="593">
        <f t="shared" si="16"/>
        <v>0.52874999999999994</v>
      </c>
      <c r="H564" s="516"/>
      <c r="I564" s="164"/>
      <c r="J564" s="164"/>
      <c r="K564" s="165"/>
      <c r="L564" s="165"/>
      <c r="M564" s="165"/>
      <c r="N564" s="164"/>
      <c r="O564" s="164"/>
      <c r="P564" s="164"/>
      <c r="Q564" s="164"/>
      <c r="R564" s="164"/>
    </row>
    <row r="565" spans="1:18" s="149" customFormat="1">
      <c r="A565" s="135"/>
      <c r="B565" s="100"/>
      <c r="C565" s="55">
        <v>8</v>
      </c>
      <c r="D565" s="184">
        <v>1.5649999999999999</v>
      </c>
      <c r="E565" s="56">
        <v>0.125</v>
      </c>
      <c r="F565" s="184">
        <v>0.15</v>
      </c>
      <c r="G565" s="593">
        <f t="shared" si="16"/>
        <v>0.23474999999999999</v>
      </c>
      <c r="H565" s="516"/>
      <c r="I565" s="164"/>
      <c r="J565" s="164"/>
      <c r="K565" s="165"/>
      <c r="L565" s="165"/>
      <c r="M565" s="165"/>
      <c r="N565" s="164"/>
      <c r="O565" s="164"/>
      <c r="P565" s="164"/>
      <c r="Q565" s="164"/>
      <c r="R565" s="164"/>
    </row>
    <row r="566" spans="1:18" s="149" customFormat="1">
      <c r="A566" s="135"/>
      <c r="B566" s="100"/>
      <c r="C566" s="55">
        <v>4</v>
      </c>
      <c r="D566" s="184">
        <v>1.7250000000000001</v>
      </c>
      <c r="E566" s="56">
        <v>0.125</v>
      </c>
      <c r="F566" s="184">
        <v>0.15</v>
      </c>
      <c r="G566" s="593">
        <f t="shared" si="16"/>
        <v>0.12937499999999999</v>
      </c>
      <c r="H566" s="516"/>
      <c r="I566" s="164"/>
      <c r="J566" s="164"/>
      <c r="K566" s="165"/>
      <c r="L566" s="165"/>
      <c r="M566" s="165"/>
      <c r="N566" s="164"/>
      <c r="O566" s="164"/>
      <c r="P566" s="164"/>
      <c r="Q566" s="164"/>
      <c r="R566" s="164"/>
    </row>
    <row r="567" spans="1:18" s="149" customFormat="1">
      <c r="A567" s="135"/>
      <c r="B567" s="100"/>
      <c r="C567" s="55">
        <v>1</v>
      </c>
      <c r="D567" s="184">
        <v>1.35</v>
      </c>
      <c r="E567" s="56">
        <v>0.125</v>
      </c>
      <c r="F567" s="184">
        <v>0.15</v>
      </c>
      <c r="G567" s="593">
        <f t="shared" si="16"/>
        <v>2.5312500000000002E-2</v>
      </c>
      <c r="H567" s="516"/>
      <c r="I567" s="164"/>
      <c r="J567" s="164"/>
      <c r="K567" s="165"/>
      <c r="L567" s="165"/>
      <c r="M567" s="165"/>
      <c r="N567" s="164"/>
      <c r="O567" s="164"/>
      <c r="P567" s="164"/>
      <c r="Q567" s="164"/>
      <c r="R567" s="164"/>
    </row>
    <row r="568" spans="1:18" s="149" customFormat="1">
      <c r="A568" s="135"/>
      <c r="B568" s="100"/>
      <c r="C568" s="55">
        <v>1</v>
      </c>
      <c r="D568" s="184">
        <v>2.2250000000000001</v>
      </c>
      <c r="E568" s="56">
        <v>0.125</v>
      </c>
      <c r="F568" s="184">
        <v>0.15</v>
      </c>
      <c r="G568" s="594">
        <f t="shared" si="16"/>
        <v>4.1718749999999999E-2</v>
      </c>
      <c r="H568" s="516"/>
      <c r="I568" s="164"/>
      <c r="J568" s="164"/>
      <c r="K568" s="165"/>
      <c r="L568" s="165"/>
      <c r="M568" s="165"/>
      <c r="N568" s="164"/>
      <c r="O568" s="164"/>
      <c r="P568" s="164"/>
      <c r="Q568" s="164"/>
      <c r="R568" s="164"/>
    </row>
    <row r="569" spans="1:18" s="149" customFormat="1">
      <c r="A569" s="135"/>
      <c r="B569" s="100"/>
      <c r="C569" s="55"/>
      <c r="D569" s="184"/>
      <c r="E569" s="56"/>
      <c r="F569" s="184"/>
      <c r="G569" s="593">
        <f>SUM(G556:G568)</f>
        <v>5.30878125</v>
      </c>
      <c r="H569" s="516"/>
      <c r="I569" s="164"/>
      <c r="J569" s="164"/>
      <c r="K569" s="165"/>
      <c r="L569" s="165"/>
      <c r="M569" s="165"/>
      <c r="N569" s="164"/>
      <c r="O569" s="164"/>
      <c r="P569" s="164"/>
      <c r="Q569" s="164"/>
      <c r="R569" s="164"/>
    </row>
    <row r="570" spans="1:18" s="149" customFormat="1">
      <c r="A570" s="135"/>
      <c r="B570" s="100"/>
      <c r="C570" s="55"/>
      <c r="D570" s="184"/>
      <c r="E570" s="56"/>
      <c r="F570" s="184"/>
      <c r="G570" s="656">
        <f>G569*10%</f>
        <v>0.53087812499999998</v>
      </c>
      <c r="H570" s="503"/>
      <c r="I570" s="164"/>
      <c r="J570" s="164"/>
      <c r="K570" s="165"/>
      <c r="L570" s="165"/>
      <c r="M570" s="165"/>
      <c r="N570" s="164"/>
      <c r="O570" s="164"/>
      <c r="P570" s="164"/>
      <c r="Q570" s="164"/>
      <c r="R570" s="164"/>
    </row>
    <row r="571" spans="1:18" s="149" customFormat="1">
      <c r="A571" s="135"/>
      <c r="C571" s="121"/>
      <c r="D571" s="120"/>
      <c r="E571" s="165"/>
      <c r="F571" s="173"/>
      <c r="G571" s="551">
        <f>G570+G569</f>
        <v>5.8396593750000001</v>
      </c>
      <c r="H571" s="642" t="s">
        <v>25</v>
      </c>
      <c r="I571" s="164"/>
      <c r="J571" s="164"/>
      <c r="K571" s="165"/>
      <c r="L571" s="165"/>
      <c r="M571" s="165"/>
      <c r="N571" s="164"/>
      <c r="O571" s="164"/>
      <c r="P571" s="164"/>
      <c r="Q571" s="164"/>
      <c r="R571" s="164"/>
    </row>
    <row r="572" spans="1:18" s="149" customFormat="1">
      <c r="A572" s="135"/>
      <c r="C572" s="121"/>
      <c r="D572" s="120"/>
      <c r="E572" s="165"/>
      <c r="F572" s="173"/>
      <c r="G572" s="432"/>
      <c r="H572" s="516"/>
      <c r="I572" s="164"/>
      <c r="J572" s="164"/>
      <c r="K572" s="165"/>
      <c r="L572" s="165"/>
      <c r="M572" s="165"/>
      <c r="N572" s="164"/>
      <c r="O572" s="164"/>
      <c r="P572" s="164"/>
      <c r="Q572" s="164"/>
      <c r="R572" s="164"/>
    </row>
    <row r="573" spans="1:18" s="149" customFormat="1" ht="15">
      <c r="A573" s="135"/>
      <c r="B573" s="36" t="s">
        <v>1161</v>
      </c>
      <c r="C573" s="121"/>
      <c r="D573" s="121"/>
      <c r="E573" s="121"/>
      <c r="F573" s="121"/>
      <c r="G573" s="521"/>
      <c r="H573" s="516"/>
      <c r="I573" s="164"/>
      <c r="J573" s="164"/>
      <c r="K573" s="165"/>
      <c r="L573" s="165"/>
      <c r="M573" s="165"/>
      <c r="N573" s="164"/>
      <c r="O573" s="164"/>
      <c r="P573" s="164"/>
      <c r="Q573" s="164"/>
      <c r="R573" s="164"/>
    </row>
    <row r="574" spans="1:18" s="149" customFormat="1">
      <c r="A574" s="135"/>
      <c r="B574" s="20" t="s">
        <v>213</v>
      </c>
      <c r="C574" s="186">
        <v>2</v>
      </c>
      <c r="D574" s="186">
        <v>0.9</v>
      </c>
      <c r="E574" s="186">
        <v>0.25</v>
      </c>
      <c r="F574" s="186">
        <v>0.15</v>
      </c>
      <c r="G574" s="548">
        <f>F574*E574*D574*C574</f>
        <v>6.7500000000000004E-2</v>
      </c>
      <c r="H574" s="516" t="s">
        <v>25</v>
      </c>
      <c r="I574" s="164"/>
      <c r="J574" s="164"/>
      <c r="K574" s="165"/>
      <c r="L574" s="165"/>
      <c r="M574" s="165"/>
      <c r="N574" s="164"/>
      <c r="O574" s="164"/>
      <c r="P574" s="164"/>
      <c r="Q574" s="164"/>
      <c r="R574" s="164"/>
    </row>
    <row r="575" spans="1:18" s="149" customFormat="1">
      <c r="A575" s="135"/>
      <c r="B575" s="36"/>
      <c r="C575" s="121"/>
      <c r="D575" s="121"/>
      <c r="E575" s="121"/>
      <c r="F575" s="121"/>
      <c r="G575" s="656">
        <f>G574*10%</f>
        <v>6.7500000000000008E-3</v>
      </c>
      <c r="H575" s="503"/>
      <c r="I575" s="164"/>
      <c r="J575" s="164"/>
      <c r="K575" s="165"/>
      <c r="L575" s="165"/>
      <c r="M575" s="165"/>
      <c r="N575" s="164"/>
      <c r="O575" s="164"/>
      <c r="P575" s="164"/>
      <c r="Q575" s="164"/>
      <c r="R575" s="164"/>
    </row>
    <row r="576" spans="1:18" s="149" customFormat="1">
      <c r="A576" s="135"/>
      <c r="B576" s="20"/>
      <c r="C576" s="186"/>
      <c r="D576" s="186"/>
      <c r="E576" s="186"/>
      <c r="F576" s="186"/>
      <c r="G576" s="551">
        <f>G575+G574</f>
        <v>7.425000000000001E-2</v>
      </c>
      <c r="H576" s="642" t="s">
        <v>25</v>
      </c>
      <c r="I576" s="164"/>
      <c r="J576" s="164"/>
      <c r="K576" s="165"/>
      <c r="L576" s="165"/>
      <c r="M576" s="165"/>
      <c r="N576" s="164"/>
      <c r="O576" s="164"/>
      <c r="P576" s="164"/>
      <c r="Q576" s="164"/>
      <c r="R576" s="164"/>
    </row>
    <row r="577" spans="1:18" s="149" customFormat="1" ht="15.75" customHeight="1">
      <c r="A577" s="135"/>
      <c r="D577" s="164"/>
      <c r="E577" s="165"/>
      <c r="F577" s="164"/>
      <c r="G577" s="533"/>
      <c r="H577" s="588"/>
      <c r="I577" s="164"/>
      <c r="J577" s="164"/>
      <c r="K577" s="165"/>
      <c r="L577" s="165"/>
      <c r="M577" s="165"/>
      <c r="N577" s="164"/>
      <c r="O577" s="164"/>
      <c r="P577" s="164"/>
      <c r="Q577" s="164"/>
      <c r="R577" s="164"/>
    </row>
    <row r="578" spans="1:18" s="149" customFormat="1" ht="15">
      <c r="A578" s="135"/>
      <c r="B578" s="20"/>
      <c r="C578" s="121"/>
      <c r="D578" s="121"/>
      <c r="E578" s="121"/>
      <c r="F578" s="121"/>
      <c r="G578" s="521"/>
      <c r="H578" s="516"/>
      <c r="I578" s="164"/>
      <c r="J578" s="164"/>
      <c r="K578" s="165"/>
      <c r="L578" s="165"/>
      <c r="M578" s="165"/>
      <c r="N578" s="164"/>
      <c r="O578" s="164"/>
      <c r="P578" s="164"/>
      <c r="Q578" s="164"/>
      <c r="R578" s="164"/>
    </row>
    <row r="579" spans="1:18" s="149" customFormat="1" ht="15">
      <c r="A579" s="135" t="s">
        <v>480</v>
      </c>
      <c r="B579" s="36" t="s">
        <v>1225</v>
      </c>
      <c r="C579" s="121"/>
      <c r="D579" s="121"/>
      <c r="E579" s="121"/>
      <c r="F579" s="121"/>
      <c r="G579" s="521"/>
      <c r="H579" s="516"/>
      <c r="I579" s="164"/>
      <c r="J579" s="164"/>
      <c r="K579" s="165"/>
      <c r="L579" s="165"/>
      <c r="M579" s="165"/>
      <c r="N579" s="164"/>
      <c r="O579" s="164"/>
      <c r="P579" s="164"/>
      <c r="Q579" s="164"/>
      <c r="R579" s="164"/>
    </row>
    <row r="580" spans="1:18" s="486" customFormat="1" ht="15">
      <c r="A580" s="249"/>
      <c r="B580" s="240" t="s">
        <v>1051</v>
      </c>
      <c r="C580" s="55"/>
      <c r="D580" s="184"/>
      <c r="E580" s="184"/>
      <c r="F580" s="184"/>
      <c r="G580" s="613"/>
      <c r="H580" s="612"/>
      <c r="K580" s="511"/>
      <c r="L580" s="512"/>
      <c r="M580" s="511"/>
      <c r="N580" s="513"/>
    </row>
    <row r="581" spans="1:18" s="486" customFormat="1" ht="16.5" customHeight="1">
      <c r="A581" s="249"/>
      <c r="B581" s="149" t="s">
        <v>1224</v>
      </c>
      <c r="C581" s="55">
        <v>24</v>
      </c>
      <c r="D581" s="184">
        <v>1.2</v>
      </c>
      <c r="E581" s="184">
        <v>0.3</v>
      </c>
      <c r="F581" s="184"/>
      <c r="G581" s="593">
        <f>E581*D581*C581*2</f>
        <v>17.28</v>
      </c>
      <c r="H581" s="612"/>
      <c r="K581" s="511"/>
      <c r="L581" s="512"/>
      <c r="M581" s="511"/>
      <c r="N581" s="513"/>
    </row>
    <row r="582" spans="1:18" s="486" customFormat="1" ht="16.5" customHeight="1">
      <c r="A582" s="249"/>
      <c r="B582" s="20" t="s">
        <v>1224</v>
      </c>
      <c r="C582" s="55">
        <v>17</v>
      </c>
      <c r="D582" s="184">
        <v>1.5</v>
      </c>
      <c r="E582" s="184">
        <v>0.3</v>
      </c>
      <c r="F582" s="184"/>
      <c r="G582" s="593">
        <f>E582*D582*C582</f>
        <v>7.6499999999999995</v>
      </c>
      <c r="H582" s="612"/>
      <c r="K582" s="511"/>
      <c r="L582" s="512"/>
      <c r="M582" s="511"/>
      <c r="N582" s="513"/>
    </row>
    <row r="583" spans="1:18" s="486" customFormat="1" ht="16.5" customHeight="1">
      <c r="A583" s="249"/>
      <c r="B583" s="20" t="s">
        <v>1361</v>
      </c>
      <c r="C583" s="55">
        <v>4</v>
      </c>
      <c r="D583" s="184">
        <v>2.1</v>
      </c>
      <c r="E583" s="184">
        <v>0.3</v>
      </c>
      <c r="F583" s="184"/>
      <c r="G583" s="593">
        <f>C583*D583*E583</f>
        <v>2.52</v>
      </c>
      <c r="H583" s="612"/>
      <c r="K583" s="511"/>
      <c r="L583" s="512"/>
      <c r="M583" s="511"/>
      <c r="N583" s="513"/>
    </row>
    <row r="584" spans="1:18" s="486" customFormat="1">
      <c r="A584" s="249"/>
      <c r="B584" s="224" t="s">
        <v>1361</v>
      </c>
      <c r="C584" s="55">
        <v>2</v>
      </c>
      <c r="D584" s="184">
        <v>1.8</v>
      </c>
      <c r="E584" s="184">
        <v>0.3</v>
      </c>
      <c r="F584" s="184"/>
      <c r="G584" s="593">
        <f>C584*D584*E584*2</f>
        <v>2.16</v>
      </c>
      <c r="H584" s="612"/>
      <c r="K584" s="511"/>
      <c r="L584" s="512"/>
      <c r="M584" s="511"/>
      <c r="N584" s="513"/>
    </row>
    <row r="585" spans="1:18" s="486" customFormat="1">
      <c r="A585" s="249"/>
      <c r="B585" s="20" t="s">
        <v>1362</v>
      </c>
      <c r="C585" s="55">
        <v>33</v>
      </c>
      <c r="D585" s="184">
        <v>0.9</v>
      </c>
      <c r="E585" s="184">
        <v>0.3</v>
      </c>
      <c r="F585" s="184"/>
      <c r="G585" s="594">
        <f>E585*D585*C585</f>
        <v>8.91</v>
      </c>
      <c r="H585" s="612"/>
      <c r="K585" s="510"/>
      <c r="L585" s="510"/>
      <c r="M585" s="510"/>
    </row>
    <row r="586" spans="1:18" s="486" customFormat="1">
      <c r="A586" s="249"/>
      <c r="B586" s="20"/>
      <c r="C586" s="55"/>
      <c r="D586" s="184"/>
      <c r="E586" s="184"/>
      <c r="F586" s="184"/>
      <c r="G586" s="593">
        <f>SUM(G581:G585)</f>
        <v>38.519999999999996</v>
      </c>
      <c r="H586" s="612"/>
      <c r="K586" s="510"/>
      <c r="L586" s="510"/>
      <c r="M586" s="510"/>
    </row>
    <row r="587" spans="1:18" s="486" customFormat="1">
      <c r="A587" s="249"/>
      <c r="B587" s="20"/>
      <c r="C587" s="55"/>
      <c r="D587" s="184"/>
      <c r="E587" s="184"/>
      <c r="F587" s="184"/>
      <c r="G587" s="656">
        <f>G586*10%</f>
        <v>3.8519999999999999</v>
      </c>
      <c r="H587" s="612"/>
      <c r="K587" s="510"/>
      <c r="L587" s="510"/>
      <c r="M587" s="510"/>
    </row>
    <row r="588" spans="1:18" s="486" customFormat="1" ht="15">
      <c r="A588" s="249"/>
      <c r="B588" s="240"/>
      <c r="C588" s="55"/>
      <c r="D588" s="184"/>
      <c r="E588" s="184"/>
      <c r="F588" s="184"/>
      <c r="G588" s="551">
        <f>G587+G586</f>
        <v>42.371999999999993</v>
      </c>
      <c r="H588" s="632" t="s">
        <v>350</v>
      </c>
      <c r="K588" s="510"/>
      <c r="L588" s="510"/>
      <c r="M588" s="510"/>
    </row>
    <row r="589" spans="1:18" s="486" customFormat="1" ht="15">
      <c r="A589" s="249"/>
      <c r="B589" s="240" t="s">
        <v>1214</v>
      </c>
      <c r="C589" s="55"/>
      <c r="D589" s="633"/>
      <c r="E589" s="184"/>
      <c r="F589" s="184"/>
      <c r="G589" s="613"/>
      <c r="H589" s="612"/>
      <c r="K589" s="510"/>
      <c r="L589" s="510"/>
      <c r="M589" s="510"/>
    </row>
    <row r="590" spans="1:18" s="486" customFormat="1">
      <c r="A590" s="249"/>
      <c r="B590" s="149" t="s">
        <v>1224</v>
      </c>
      <c r="C590" s="55">
        <v>24</v>
      </c>
      <c r="D590" s="184">
        <v>1.2</v>
      </c>
      <c r="E590" s="184">
        <v>0.3</v>
      </c>
      <c r="F590" s="184"/>
      <c r="G590" s="593">
        <f>E590*D590*C590*2</f>
        <v>17.28</v>
      </c>
      <c r="H590" s="612"/>
      <c r="K590" s="510"/>
      <c r="L590" s="510"/>
      <c r="M590" s="510"/>
    </row>
    <row r="591" spans="1:18" s="486" customFormat="1">
      <c r="A591" s="249"/>
      <c r="B591" s="224" t="s">
        <v>1224</v>
      </c>
      <c r="C591" s="55">
        <v>16</v>
      </c>
      <c r="D591" s="184">
        <v>1.5</v>
      </c>
      <c r="E591" s="184">
        <v>0.3</v>
      </c>
      <c r="F591" s="184"/>
      <c r="G591" s="593">
        <f>E591*D591*C591</f>
        <v>7.1999999999999993</v>
      </c>
      <c r="H591" s="612"/>
      <c r="K591" s="510"/>
      <c r="L591" s="510"/>
      <c r="M591" s="510"/>
    </row>
    <row r="592" spans="1:18" s="486" customFormat="1">
      <c r="A592" s="249"/>
      <c r="B592" s="224" t="s">
        <v>1361</v>
      </c>
      <c r="C592" s="55">
        <v>2</v>
      </c>
      <c r="D592" s="184">
        <v>1.8</v>
      </c>
      <c r="E592" s="184">
        <v>0.3</v>
      </c>
      <c r="F592" s="184"/>
      <c r="G592" s="593">
        <f>E592*D592*C592*2</f>
        <v>2.16</v>
      </c>
      <c r="H592" s="612"/>
      <c r="K592" s="510"/>
      <c r="L592" s="510"/>
      <c r="M592" s="510"/>
    </row>
    <row r="593" spans="1:18" s="486" customFormat="1">
      <c r="A593" s="249"/>
      <c r="B593" s="224" t="s">
        <v>1361</v>
      </c>
      <c r="C593" s="55">
        <v>1</v>
      </c>
      <c r="D593" s="184">
        <v>2.1</v>
      </c>
      <c r="E593" s="184">
        <v>0.3</v>
      </c>
      <c r="F593" s="184"/>
      <c r="G593" s="593">
        <f>E593*D593*C593</f>
        <v>0.63</v>
      </c>
      <c r="H593" s="612"/>
      <c r="K593" s="510"/>
      <c r="L593" s="513"/>
      <c r="M593" s="510"/>
    </row>
    <row r="594" spans="1:18" s="486" customFormat="1">
      <c r="A594" s="249"/>
      <c r="B594" s="20" t="s">
        <v>1362</v>
      </c>
      <c r="C594" s="55">
        <v>33</v>
      </c>
      <c r="D594" s="184">
        <v>0.9</v>
      </c>
      <c r="E594" s="184">
        <v>0.3</v>
      </c>
      <c r="F594" s="184"/>
      <c r="G594" s="594">
        <f>E594*D594*C594</f>
        <v>8.91</v>
      </c>
      <c r="H594" s="612"/>
      <c r="K594" s="510"/>
      <c r="L594" s="513"/>
      <c r="M594" s="510"/>
    </row>
    <row r="595" spans="1:18" s="486" customFormat="1">
      <c r="A595" s="249"/>
      <c r="B595" s="20"/>
      <c r="C595" s="55"/>
      <c r="D595" s="184"/>
      <c r="E595" s="184"/>
      <c r="F595" s="184"/>
      <c r="G595" s="593">
        <f>SUM(G590:G594)</f>
        <v>36.18</v>
      </c>
      <c r="H595" s="612"/>
      <c r="K595" s="510"/>
      <c r="L595" s="513"/>
      <c r="M595" s="510"/>
    </row>
    <row r="596" spans="1:18" s="486" customFormat="1">
      <c r="A596" s="249"/>
      <c r="B596" s="20"/>
      <c r="C596" s="55"/>
      <c r="D596" s="184"/>
      <c r="E596" s="184"/>
      <c r="F596" s="184"/>
      <c r="G596" s="656">
        <f>G595*10%</f>
        <v>3.6180000000000003</v>
      </c>
      <c r="H596" s="612"/>
      <c r="K596" s="510"/>
      <c r="L596" s="513"/>
      <c r="M596" s="510"/>
    </row>
    <row r="597" spans="1:18" s="486" customFormat="1">
      <c r="A597" s="249"/>
      <c r="B597" s="20"/>
      <c r="C597" s="121"/>
      <c r="D597" s="120"/>
      <c r="E597" s="120"/>
      <c r="F597" s="120"/>
      <c r="G597" s="551">
        <f>G596+G595</f>
        <v>39.798000000000002</v>
      </c>
      <c r="H597" s="632" t="s">
        <v>350</v>
      </c>
      <c r="K597" s="510"/>
      <c r="L597" s="513"/>
      <c r="M597" s="510"/>
    </row>
    <row r="598" spans="1:18" s="486" customFormat="1">
      <c r="A598" s="249"/>
      <c r="B598" s="149"/>
      <c r="C598" s="149"/>
      <c r="D598" s="402"/>
      <c r="E598" s="402"/>
      <c r="F598" s="402"/>
      <c r="G598" s="634"/>
      <c r="H598" s="149"/>
      <c r="K598" s="510"/>
      <c r="L598" s="513"/>
      <c r="M598" s="510"/>
    </row>
    <row r="599" spans="1:18" s="486" customFormat="1">
      <c r="A599" s="249"/>
      <c r="B599" s="149"/>
      <c r="C599" s="149"/>
      <c r="D599" s="402"/>
      <c r="E599" s="402"/>
      <c r="F599" s="635"/>
      <c r="G599" s="636"/>
      <c r="H599" s="612"/>
      <c r="K599" s="510"/>
      <c r="L599" s="513"/>
      <c r="M599" s="510"/>
    </row>
    <row r="600" spans="1:18" s="486" customFormat="1">
      <c r="A600" s="249"/>
      <c r="B600" s="149"/>
      <c r="C600" s="149"/>
      <c r="D600" s="402"/>
      <c r="E600" s="402"/>
      <c r="F600" s="635"/>
      <c r="G600" s="636"/>
      <c r="H600" s="612"/>
      <c r="K600" s="510"/>
      <c r="L600" s="510"/>
      <c r="M600" s="510"/>
    </row>
    <row r="601" spans="1:18" s="149" customFormat="1" ht="15">
      <c r="A601" s="135">
        <v>5</v>
      </c>
      <c r="B601" s="226" t="s">
        <v>615</v>
      </c>
      <c r="C601" s="218" t="s">
        <v>616</v>
      </c>
      <c r="D601" s="591"/>
      <c r="E601" s="401"/>
      <c r="F601" s="401"/>
      <c r="G601" s="521"/>
      <c r="H601" s="516"/>
      <c r="I601" s="164"/>
      <c r="J601" s="164"/>
      <c r="K601" s="165"/>
      <c r="L601" s="165"/>
      <c r="M601" s="165"/>
      <c r="N601" s="164"/>
      <c r="O601" s="164"/>
      <c r="P601" s="164"/>
      <c r="Q601" s="164"/>
      <c r="R601" s="164"/>
    </row>
    <row r="602" spans="1:18" s="149" customFormat="1" ht="15">
      <c r="A602" s="135"/>
      <c r="B602" s="36" t="s">
        <v>1051</v>
      </c>
      <c r="C602" s="218" t="s">
        <v>617</v>
      </c>
      <c r="D602" s="621" t="s">
        <v>618</v>
      </c>
      <c r="E602" s="621" t="s">
        <v>618</v>
      </c>
      <c r="F602" s="401"/>
      <c r="G602" s="521"/>
      <c r="H602" s="516"/>
      <c r="I602" s="164"/>
      <c r="J602" s="228"/>
      <c r="K602" s="16"/>
      <c r="L602" s="16"/>
      <c r="M602" s="165"/>
      <c r="N602" s="164"/>
      <c r="O602" s="164"/>
      <c r="P602" s="164"/>
      <c r="Q602" s="164"/>
      <c r="R602" s="164"/>
    </row>
    <row r="603" spans="1:18" s="149" customFormat="1" ht="15">
      <c r="A603" s="135"/>
      <c r="B603" s="228" t="s">
        <v>1243</v>
      </c>
      <c r="C603" s="120">
        <f>G247</f>
        <v>139.70100916446401</v>
      </c>
      <c r="D603" s="401">
        <v>100</v>
      </c>
      <c r="E603" s="401">
        <f>D603*C603</f>
        <v>13970.100916446401</v>
      </c>
      <c r="F603" s="544"/>
      <c r="G603" s="521"/>
      <c r="H603" s="516"/>
      <c r="I603" s="164"/>
      <c r="J603" s="228"/>
      <c r="K603" s="16"/>
      <c r="L603" s="16"/>
      <c r="M603" s="165"/>
      <c r="N603" s="164"/>
      <c r="O603" s="164"/>
      <c r="P603" s="164"/>
      <c r="Q603" s="164"/>
      <c r="R603" s="164"/>
    </row>
    <row r="604" spans="1:18" s="149" customFormat="1" ht="15">
      <c r="A604" s="135"/>
      <c r="B604" s="228" t="s">
        <v>1244</v>
      </c>
      <c r="C604" s="120">
        <f>G256</f>
        <v>18.694500000000001</v>
      </c>
      <c r="D604" s="401">
        <v>100</v>
      </c>
      <c r="E604" s="401">
        <f>D604*C604</f>
        <v>1869.45</v>
      </c>
      <c r="F604" s="544"/>
      <c r="G604" s="521"/>
      <c r="H604" s="516"/>
      <c r="I604" s="164"/>
      <c r="J604" s="228"/>
      <c r="K604" s="572"/>
      <c r="L604" s="16"/>
      <c r="M604" s="165"/>
      <c r="N604" s="164"/>
      <c r="O604" s="164"/>
      <c r="P604" s="164"/>
      <c r="Q604" s="164"/>
      <c r="R604" s="164"/>
    </row>
    <row r="605" spans="1:18" s="149" customFormat="1" ht="15">
      <c r="A605" s="135"/>
      <c r="B605" s="228" t="s">
        <v>1221</v>
      </c>
      <c r="C605" s="120">
        <f>G264</f>
        <v>14.503500000000001</v>
      </c>
      <c r="D605" s="401">
        <v>100</v>
      </c>
      <c r="E605" s="401">
        <f t="shared" ref="E605:E612" si="17">D605*C605</f>
        <v>1450.3500000000001</v>
      </c>
      <c r="F605" s="544"/>
      <c r="G605" s="521"/>
      <c r="H605" s="516"/>
      <c r="I605" s="164"/>
      <c r="J605" s="228"/>
      <c r="K605" s="16"/>
      <c r="L605" s="16"/>
      <c r="M605" s="165"/>
      <c r="N605" s="164"/>
      <c r="O605" s="164"/>
      <c r="P605" s="164"/>
      <c r="Q605" s="164"/>
      <c r="R605" s="164"/>
    </row>
    <row r="606" spans="1:18" s="149" customFormat="1" ht="15">
      <c r="A606" s="135"/>
      <c r="B606" s="228" t="s">
        <v>622</v>
      </c>
      <c r="C606" s="120">
        <f>G332</f>
        <v>43.5105</v>
      </c>
      <c r="D606" s="401">
        <v>160</v>
      </c>
      <c r="E606" s="401">
        <f t="shared" si="17"/>
        <v>6961.68</v>
      </c>
      <c r="F606" s="544"/>
      <c r="G606" s="521"/>
      <c r="H606" s="516"/>
      <c r="I606" s="164"/>
      <c r="J606" s="228"/>
      <c r="K606" s="16"/>
      <c r="L606" s="16"/>
      <c r="M606" s="165"/>
      <c r="N606" s="164"/>
      <c r="O606" s="164"/>
      <c r="P606" s="164"/>
      <c r="Q606" s="164"/>
      <c r="R606" s="164"/>
    </row>
    <row r="607" spans="1:18" s="149" customFormat="1" ht="15">
      <c r="A607" s="135"/>
      <c r="B607" s="228" t="s">
        <v>624</v>
      </c>
      <c r="C607" s="120">
        <f>G321</f>
        <v>71.718487500000023</v>
      </c>
      <c r="D607" s="401">
        <v>100</v>
      </c>
      <c r="E607" s="401">
        <f t="shared" si="17"/>
        <v>7171.8487500000019</v>
      </c>
      <c r="F607" s="544"/>
      <c r="G607" s="521"/>
      <c r="H607" s="516"/>
      <c r="I607" s="164"/>
      <c r="J607" s="230"/>
      <c r="K607" s="16"/>
      <c r="L607" s="16"/>
      <c r="M607" s="165"/>
      <c r="N607" s="164"/>
      <c r="O607" s="164"/>
      <c r="P607" s="164"/>
      <c r="Q607" s="164"/>
      <c r="R607" s="164"/>
    </row>
    <row r="608" spans="1:18" s="149" customFormat="1" ht="15">
      <c r="A608" s="135"/>
      <c r="B608" s="230" t="s">
        <v>625</v>
      </c>
      <c r="C608" s="120">
        <f>G430</f>
        <v>52.911174249999966</v>
      </c>
      <c r="D608" s="401">
        <v>160</v>
      </c>
      <c r="E608" s="401">
        <f t="shared" si="17"/>
        <v>8465.7878799999944</v>
      </c>
      <c r="F608" s="544"/>
      <c r="G608" s="521"/>
      <c r="H608" s="516"/>
      <c r="I608" s="164"/>
      <c r="J608" s="228"/>
      <c r="K608" s="16"/>
      <c r="L608" s="16"/>
      <c r="M608" s="165"/>
      <c r="N608" s="164"/>
      <c r="O608" s="164"/>
      <c r="P608" s="164"/>
      <c r="Q608" s="164"/>
      <c r="R608" s="164"/>
    </row>
    <row r="609" spans="1:18" s="149" customFormat="1" ht="15">
      <c r="A609" s="135"/>
      <c r="B609" s="228" t="s">
        <v>626</v>
      </c>
      <c r="C609" s="120">
        <f>G513</f>
        <v>150.2045840625</v>
      </c>
      <c r="D609" s="401">
        <v>90</v>
      </c>
      <c r="E609" s="401">
        <f t="shared" si="17"/>
        <v>13518.412565625</v>
      </c>
      <c r="F609" s="544"/>
      <c r="G609" s="521"/>
      <c r="H609" s="516"/>
      <c r="I609" s="164"/>
      <c r="J609" s="231"/>
      <c r="K609" s="16"/>
      <c r="L609" s="16"/>
      <c r="M609" s="165"/>
      <c r="N609" s="164"/>
      <c r="O609" s="164"/>
      <c r="P609" s="164"/>
      <c r="Q609" s="164"/>
      <c r="R609" s="164"/>
    </row>
    <row r="610" spans="1:18" s="149" customFormat="1" ht="15">
      <c r="A610" s="135"/>
      <c r="B610" s="231" t="s">
        <v>1162</v>
      </c>
      <c r="C610" s="120">
        <f>G553</f>
        <v>8.7735037499999997</v>
      </c>
      <c r="D610" s="401">
        <v>100</v>
      </c>
      <c r="E610" s="401">
        <f t="shared" si="17"/>
        <v>877.35037499999999</v>
      </c>
      <c r="F610" s="544"/>
      <c r="G610" s="521"/>
      <c r="H610" s="516"/>
      <c r="I610" s="164"/>
      <c r="J610" s="231"/>
      <c r="K610" s="16"/>
      <c r="L610" s="16"/>
      <c r="M610" s="165"/>
      <c r="N610" s="164"/>
      <c r="O610" s="164"/>
      <c r="P610" s="164"/>
      <c r="Q610" s="164"/>
      <c r="R610" s="164"/>
    </row>
    <row r="611" spans="1:18" s="149" customFormat="1" ht="15">
      <c r="A611" s="135"/>
      <c r="B611" s="231" t="s">
        <v>1225</v>
      </c>
      <c r="C611" s="120">
        <f>G588</f>
        <v>42.371999999999993</v>
      </c>
      <c r="D611" s="401">
        <v>5</v>
      </c>
      <c r="E611" s="401">
        <f t="shared" si="17"/>
        <v>211.85999999999996</v>
      </c>
      <c r="F611" s="544"/>
      <c r="G611" s="521"/>
      <c r="H611" s="516"/>
      <c r="I611" s="164"/>
      <c r="J611" s="164"/>
      <c r="K611" s="165"/>
      <c r="L611" s="165"/>
      <c r="M611" s="165"/>
      <c r="N611" s="164"/>
      <c r="O611" s="164"/>
      <c r="P611" s="164"/>
      <c r="Q611" s="164"/>
      <c r="R611" s="164"/>
    </row>
    <row r="612" spans="1:18" s="149" customFormat="1">
      <c r="A612" s="135"/>
      <c r="B612" s="228" t="s">
        <v>1364</v>
      </c>
      <c r="C612" s="120">
        <f>G359</f>
        <v>6.58779264</v>
      </c>
      <c r="D612" s="401">
        <v>120</v>
      </c>
      <c r="E612" s="622">
        <f t="shared" si="17"/>
        <v>790.53511679999997</v>
      </c>
      <c r="F612" s="544"/>
      <c r="G612" s="498"/>
      <c r="H612" s="430"/>
      <c r="I612" s="164"/>
      <c r="J612" s="164"/>
      <c r="K612" s="165"/>
      <c r="L612" s="165"/>
      <c r="M612" s="165"/>
      <c r="N612" s="164"/>
      <c r="O612" s="164"/>
      <c r="P612" s="164"/>
      <c r="Q612" s="164"/>
      <c r="R612" s="164"/>
    </row>
    <row r="613" spans="1:18" s="149" customFormat="1" ht="15">
      <c r="A613" s="135"/>
      <c r="C613" s="121"/>
      <c r="D613" s="401"/>
      <c r="E613" s="58">
        <f>SUM(E603:E612)*1.2</f>
        <v>66344.850724645672</v>
      </c>
      <c r="F613" s="623" t="s">
        <v>537</v>
      </c>
      <c r="G613" s="498"/>
      <c r="H613" s="430"/>
      <c r="I613" s="164"/>
      <c r="J613" s="164"/>
      <c r="K613" s="165"/>
      <c r="L613" s="165"/>
      <c r="M613" s="165"/>
      <c r="N613" s="164"/>
      <c r="O613" s="164"/>
      <c r="P613" s="164"/>
      <c r="Q613" s="164"/>
      <c r="R613" s="164"/>
    </row>
    <row r="614" spans="1:18" s="149" customFormat="1" ht="15.75">
      <c r="A614" s="135"/>
      <c r="C614" s="121"/>
      <c r="D614" s="401"/>
      <c r="E614" s="624">
        <f>E613/100</f>
        <v>663.44850724645676</v>
      </c>
      <c r="F614" s="625" t="s">
        <v>628</v>
      </c>
      <c r="G614" s="498"/>
      <c r="H614" s="430"/>
      <c r="I614" s="164"/>
      <c r="J614" s="164"/>
      <c r="K614" s="165"/>
      <c r="L614" s="165"/>
      <c r="M614" s="165"/>
      <c r="N614" s="164"/>
      <c r="O614" s="164"/>
      <c r="P614" s="164"/>
      <c r="Q614" s="164"/>
      <c r="R614" s="164"/>
    </row>
    <row r="615" spans="1:18" s="149" customFormat="1" ht="15.75">
      <c r="A615" s="135"/>
      <c r="C615" s="121"/>
      <c r="D615" s="401"/>
      <c r="E615" s="624"/>
      <c r="F615" s="625"/>
      <c r="G615" s="498"/>
      <c r="H615" s="430"/>
      <c r="I615" s="164"/>
      <c r="J615" s="164"/>
      <c r="K615" s="165"/>
      <c r="L615" s="165"/>
      <c r="M615" s="165"/>
      <c r="N615" s="164"/>
      <c r="O615" s="164"/>
      <c r="P615" s="164"/>
      <c r="Q615" s="164"/>
      <c r="R615" s="164"/>
    </row>
    <row r="616" spans="1:18" s="149" customFormat="1" ht="15">
      <c r="A616" s="135"/>
      <c r="B616" s="226"/>
      <c r="C616" s="218" t="s">
        <v>616</v>
      </c>
      <c r="D616" s="591"/>
      <c r="E616" s="401"/>
      <c r="F616" s="401"/>
      <c r="G616" s="498"/>
      <c r="H616" s="430"/>
      <c r="I616" s="164"/>
      <c r="J616" s="164"/>
      <c r="K616" s="165"/>
      <c r="L616" s="165"/>
      <c r="M616" s="165"/>
      <c r="N616" s="164"/>
      <c r="O616" s="164"/>
      <c r="P616" s="164"/>
      <c r="Q616" s="164"/>
      <c r="R616" s="164"/>
    </row>
    <row r="617" spans="1:18" s="149" customFormat="1" ht="15">
      <c r="A617" s="135"/>
      <c r="B617" s="36" t="s">
        <v>1214</v>
      </c>
      <c r="C617" s="218" t="s">
        <v>617</v>
      </c>
      <c r="D617" s="621" t="s">
        <v>618</v>
      </c>
      <c r="E617" s="621" t="s">
        <v>618</v>
      </c>
      <c r="F617" s="401"/>
      <c r="G617" s="498"/>
      <c r="H617" s="430"/>
      <c r="I617" s="164"/>
      <c r="J617" s="164"/>
      <c r="K617" s="165"/>
      <c r="L617" s="165"/>
      <c r="M617" s="165"/>
      <c r="N617" s="164"/>
      <c r="O617" s="164"/>
      <c r="P617" s="164"/>
      <c r="Q617" s="164"/>
      <c r="R617" s="164"/>
    </row>
    <row r="618" spans="1:18" s="149" customFormat="1">
      <c r="A618" s="135"/>
      <c r="B618" s="228" t="s">
        <v>622</v>
      </c>
      <c r="C618" s="120">
        <f>G341</f>
        <v>41.530500000000004</v>
      </c>
      <c r="D618" s="401">
        <v>180</v>
      </c>
      <c r="E618" s="401">
        <f t="shared" ref="E618:E623" si="18">D618*C618</f>
        <v>7475.4900000000007</v>
      </c>
      <c r="F618" s="544"/>
      <c r="G618" s="498"/>
      <c r="H618" s="430"/>
      <c r="I618" s="164"/>
      <c r="J618" s="164"/>
      <c r="K618" s="165"/>
      <c r="L618" s="165"/>
      <c r="M618" s="165"/>
      <c r="N618" s="164"/>
      <c r="O618" s="164"/>
      <c r="P618" s="164"/>
      <c r="Q618" s="164"/>
      <c r="R618" s="164"/>
    </row>
    <row r="619" spans="1:18" s="149" customFormat="1">
      <c r="A619" s="135"/>
      <c r="B619" s="230" t="s">
        <v>625</v>
      </c>
      <c r="C619" s="120">
        <f>G492</f>
        <v>47.731755499999984</v>
      </c>
      <c r="D619" s="401">
        <v>180</v>
      </c>
      <c r="E619" s="401">
        <f t="shared" si="18"/>
        <v>8591.715989999997</v>
      </c>
      <c r="F619" s="544"/>
      <c r="G619" s="498"/>
      <c r="H619" s="430"/>
      <c r="I619" s="164"/>
      <c r="J619" s="164"/>
      <c r="K619" s="165"/>
      <c r="L619" s="165"/>
      <c r="M619" s="165"/>
      <c r="N619" s="164"/>
      <c r="O619" s="164"/>
      <c r="P619" s="164"/>
      <c r="Q619" s="164"/>
      <c r="R619" s="164"/>
    </row>
    <row r="620" spans="1:18" s="149" customFormat="1">
      <c r="A620" s="135"/>
      <c r="B620" s="228" t="s">
        <v>626</v>
      </c>
      <c r="C620" s="120">
        <f>G524</f>
        <v>139.11693056249999</v>
      </c>
      <c r="D620" s="401">
        <v>90</v>
      </c>
      <c r="E620" s="401">
        <f t="shared" si="18"/>
        <v>12520.523750625</v>
      </c>
      <c r="F620" s="544"/>
      <c r="G620" s="498"/>
      <c r="H620" s="430"/>
      <c r="I620" s="164"/>
      <c r="J620" s="164"/>
      <c r="K620" s="165"/>
      <c r="L620" s="165"/>
      <c r="M620" s="165"/>
      <c r="N620" s="164"/>
      <c r="O620" s="164"/>
      <c r="P620" s="164"/>
      <c r="Q620" s="164"/>
      <c r="R620" s="164"/>
    </row>
    <row r="621" spans="1:18" s="149" customFormat="1">
      <c r="A621" s="135"/>
      <c r="B621" s="231" t="s">
        <v>1162</v>
      </c>
      <c r="C621" s="120">
        <f>G571</f>
        <v>5.8396593750000001</v>
      </c>
      <c r="D621" s="401">
        <v>125</v>
      </c>
      <c r="E621" s="401">
        <f t="shared" si="18"/>
        <v>729.95742187500002</v>
      </c>
      <c r="F621" s="544"/>
      <c r="G621" s="498"/>
      <c r="H621" s="430"/>
      <c r="I621" s="164"/>
      <c r="J621" s="164"/>
      <c r="K621" s="165"/>
      <c r="L621" s="165"/>
      <c r="M621" s="165"/>
      <c r="N621" s="164"/>
      <c r="O621" s="164"/>
      <c r="P621" s="164"/>
      <c r="Q621" s="164"/>
      <c r="R621" s="164"/>
    </row>
    <row r="622" spans="1:18" s="149" customFormat="1">
      <c r="A622" s="135"/>
      <c r="B622" s="231" t="s">
        <v>1225</v>
      </c>
      <c r="C622" s="120">
        <f>G597</f>
        <v>39.798000000000002</v>
      </c>
      <c r="D622" s="401">
        <v>5</v>
      </c>
      <c r="E622" s="401">
        <f t="shared" si="18"/>
        <v>198.99</v>
      </c>
      <c r="F622" s="544"/>
      <c r="G622" s="498"/>
      <c r="H622" s="430"/>
      <c r="I622" s="164"/>
      <c r="J622" s="164"/>
      <c r="K622" s="165"/>
      <c r="L622" s="165"/>
      <c r="M622" s="165"/>
      <c r="N622" s="164"/>
      <c r="O622" s="164"/>
      <c r="P622" s="164"/>
      <c r="Q622" s="164"/>
      <c r="R622" s="164"/>
    </row>
    <row r="623" spans="1:18" s="149" customFormat="1">
      <c r="A623" s="135"/>
      <c r="B623" s="228" t="s">
        <v>1364</v>
      </c>
      <c r="C623" s="120">
        <f>G363</f>
        <v>6.58779264</v>
      </c>
      <c r="D623" s="401">
        <v>132</v>
      </c>
      <c r="E623" s="622">
        <f t="shared" si="18"/>
        <v>869.58862848000001</v>
      </c>
      <c r="F623" s="544"/>
      <c r="G623" s="498"/>
      <c r="H623" s="430"/>
      <c r="I623" s="164"/>
      <c r="J623" s="164"/>
      <c r="K623" s="165"/>
      <c r="L623" s="165"/>
      <c r="M623" s="165"/>
      <c r="N623" s="164"/>
      <c r="O623" s="164"/>
      <c r="P623" s="164"/>
      <c r="Q623" s="164"/>
      <c r="R623" s="164"/>
    </row>
    <row r="624" spans="1:18" s="149" customFormat="1" ht="15">
      <c r="A624" s="135"/>
      <c r="C624" s="121"/>
      <c r="D624" s="401"/>
      <c r="E624" s="58">
        <f>SUM(E618:E623)*1.2</f>
        <v>36463.518949175996</v>
      </c>
      <c r="F624" s="623" t="s">
        <v>537</v>
      </c>
      <c r="G624" s="498"/>
      <c r="H624" s="430"/>
      <c r="I624" s="164"/>
      <c r="J624" s="164"/>
      <c r="K624" s="165"/>
      <c r="L624" s="165"/>
      <c r="M624" s="165"/>
      <c r="N624" s="164"/>
      <c r="O624" s="164"/>
      <c r="P624" s="164"/>
      <c r="Q624" s="164"/>
      <c r="R624" s="164"/>
    </row>
    <row r="625" spans="1:18" s="149" customFormat="1" ht="15.75">
      <c r="A625" s="135"/>
      <c r="C625" s="121"/>
      <c r="D625" s="401"/>
      <c r="E625" s="624">
        <f>E624/100</f>
        <v>364.63518949175995</v>
      </c>
      <c r="F625" s="625" t="s">
        <v>628</v>
      </c>
      <c r="G625" s="498"/>
      <c r="H625" s="430"/>
      <c r="I625" s="164"/>
      <c r="J625" s="164"/>
      <c r="K625" s="165"/>
      <c r="L625" s="165"/>
      <c r="M625" s="165"/>
      <c r="N625" s="164"/>
      <c r="O625" s="164"/>
      <c r="P625" s="164"/>
      <c r="Q625" s="164"/>
      <c r="R625" s="164"/>
    </row>
    <row r="626" spans="1:18" s="149" customFormat="1" ht="15.75">
      <c r="A626" s="135"/>
      <c r="C626" s="121"/>
      <c r="D626" s="401"/>
      <c r="E626" s="624"/>
      <c r="F626" s="625"/>
      <c r="G626" s="498"/>
      <c r="H626" s="430"/>
      <c r="I626" s="164"/>
      <c r="J626" s="164"/>
      <c r="K626" s="165"/>
      <c r="L626" s="165"/>
      <c r="M626" s="165"/>
      <c r="N626" s="164"/>
      <c r="O626" s="164"/>
      <c r="P626" s="164"/>
      <c r="Q626" s="164"/>
      <c r="R626" s="164"/>
    </row>
    <row r="627" spans="1:18" s="149" customFormat="1" ht="15">
      <c r="A627" s="135"/>
      <c r="B627" s="226"/>
      <c r="C627" s="218" t="s">
        <v>616</v>
      </c>
      <c r="D627" s="591"/>
      <c r="E627" s="401"/>
      <c r="F627" s="401"/>
      <c r="G627" s="498"/>
      <c r="H627" s="430"/>
      <c r="I627" s="164"/>
      <c r="J627" s="164"/>
      <c r="K627" s="165"/>
      <c r="L627" s="165"/>
      <c r="M627" s="165"/>
      <c r="N627" s="164"/>
      <c r="O627" s="164"/>
      <c r="P627" s="164"/>
      <c r="Q627" s="164"/>
      <c r="R627" s="164"/>
    </row>
    <row r="628" spans="1:18" s="149" customFormat="1" ht="15">
      <c r="A628" s="135"/>
      <c r="B628" s="36" t="s">
        <v>1161</v>
      </c>
      <c r="C628" s="218" t="s">
        <v>617</v>
      </c>
      <c r="D628" s="621" t="s">
        <v>618</v>
      </c>
      <c r="E628" s="621" t="s">
        <v>618</v>
      </c>
      <c r="F628" s="401"/>
      <c r="G628" s="498"/>
      <c r="H628" s="430"/>
      <c r="I628" s="164"/>
      <c r="J628" s="164"/>
      <c r="K628" s="165"/>
      <c r="L628" s="165"/>
      <c r="M628" s="165"/>
      <c r="N628" s="164"/>
      <c r="O628" s="164"/>
      <c r="P628" s="164"/>
      <c r="Q628" s="164"/>
      <c r="R628" s="164"/>
    </row>
    <row r="629" spans="1:18" s="149" customFormat="1">
      <c r="A629" s="135"/>
      <c r="B629" s="228" t="s">
        <v>622</v>
      </c>
      <c r="C629" s="120">
        <f>G349</f>
        <v>1.1220000000000001</v>
      </c>
      <c r="D629" s="401">
        <v>180</v>
      </c>
      <c r="E629" s="401">
        <f>D629*C629</f>
        <v>201.96</v>
      </c>
      <c r="F629" s="544"/>
      <c r="G629" s="498"/>
      <c r="H629" s="430"/>
      <c r="I629" s="164"/>
      <c r="J629" s="164"/>
      <c r="K629" s="165"/>
      <c r="L629" s="165"/>
      <c r="M629" s="165"/>
      <c r="N629" s="164"/>
      <c r="O629" s="164"/>
      <c r="P629" s="164"/>
      <c r="Q629" s="164"/>
      <c r="R629" s="164"/>
    </row>
    <row r="630" spans="1:18" s="149" customFormat="1">
      <c r="A630" s="135"/>
      <c r="B630" s="230" t="s">
        <v>625</v>
      </c>
      <c r="C630" s="120">
        <f>G499</f>
        <v>2.5951062500000002</v>
      </c>
      <c r="D630" s="401">
        <v>180</v>
      </c>
      <c r="E630" s="401">
        <f>D630*C630</f>
        <v>467.11912500000005</v>
      </c>
      <c r="F630" s="544"/>
      <c r="G630" s="498"/>
      <c r="H630" s="430"/>
      <c r="I630" s="164"/>
      <c r="J630" s="164"/>
      <c r="K630" s="165"/>
      <c r="L630" s="165"/>
      <c r="M630" s="165"/>
      <c r="N630" s="164"/>
      <c r="O630" s="164"/>
      <c r="P630" s="164"/>
      <c r="Q630" s="164"/>
      <c r="R630" s="164"/>
    </row>
    <row r="631" spans="1:18" s="149" customFormat="1">
      <c r="A631" s="135"/>
      <c r="B631" s="228" t="s">
        <v>626</v>
      </c>
      <c r="C631" s="120">
        <f>G528</f>
        <v>5.775055</v>
      </c>
      <c r="D631" s="401">
        <v>90</v>
      </c>
      <c r="E631" s="401">
        <f>D631*C631</f>
        <v>519.75495000000001</v>
      </c>
      <c r="F631" s="544"/>
      <c r="G631" s="498"/>
      <c r="H631" s="430"/>
      <c r="I631" s="164"/>
      <c r="J631" s="164"/>
      <c r="K631" s="165"/>
      <c r="L631" s="165"/>
      <c r="M631" s="165"/>
      <c r="N631" s="164"/>
      <c r="O631" s="164"/>
      <c r="P631" s="164"/>
      <c r="Q631" s="164"/>
      <c r="R631" s="164"/>
    </row>
    <row r="632" spans="1:18" s="149" customFormat="1">
      <c r="A632" s="135"/>
      <c r="B632" s="231" t="s">
        <v>1162</v>
      </c>
      <c r="C632" s="120">
        <f>G576</f>
        <v>7.425000000000001E-2</v>
      </c>
      <c r="D632" s="401">
        <v>125</v>
      </c>
      <c r="E632" s="622">
        <f>D632*C632</f>
        <v>9.2812500000000018</v>
      </c>
      <c r="F632" s="544"/>
      <c r="G632" s="498"/>
      <c r="H632" s="430"/>
      <c r="I632" s="164"/>
      <c r="J632" s="164"/>
      <c r="K632" s="165"/>
      <c r="L632" s="165"/>
      <c r="M632" s="165"/>
      <c r="N632" s="164"/>
      <c r="O632" s="164"/>
      <c r="P632" s="164"/>
      <c r="Q632" s="164"/>
      <c r="R632" s="164"/>
    </row>
    <row r="633" spans="1:18" s="149" customFormat="1" ht="15">
      <c r="A633" s="135"/>
      <c r="C633" s="121"/>
      <c r="D633" s="401"/>
      <c r="E633" s="58">
        <f>SUM(E629:E632)*1.2</f>
        <v>1437.7383900000002</v>
      </c>
      <c r="F633" s="623" t="s">
        <v>537</v>
      </c>
      <c r="G633" s="498"/>
      <c r="H633" s="430"/>
      <c r="I633" s="164"/>
      <c r="J633" s="164"/>
      <c r="K633" s="165"/>
      <c r="L633" s="165"/>
      <c r="M633" s="165"/>
      <c r="N633" s="164"/>
      <c r="O633" s="164"/>
      <c r="P633" s="164"/>
      <c r="Q633" s="164"/>
      <c r="R633" s="164"/>
    </row>
    <row r="634" spans="1:18" s="149" customFormat="1" ht="15.75">
      <c r="A634" s="135"/>
      <c r="C634" s="121"/>
      <c r="D634" s="401"/>
      <c r="E634" s="624">
        <f>E633/100</f>
        <v>14.377383900000002</v>
      </c>
      <c r="F634" s="625" t="s">
        <v>628</v>
      </c>
      <c r="G634" s="498"/>
      <c r="H634" s="430"/>
      <c r="I634" s="164"/>
      <c r="J634" s="164"/>
      <c r="K634" s="165"/>
      <c r="L634" s="165"/>
      <c r="M634" s="165"/>
      <c r="N634" s="164"/>
      <c r="O634" s="164"/>
      <c r="P634" s="164"/>
      <c r="Q634" s="164"/>
      <c r="R634" s="164"/>
    </row>
    <row r="635" spans="1:18" s="149" customFormat="1" ht="15.75">
      <c r="A635" s="135"/>
      <c r="C635" s="121"/>
      <c r="D635" s="401"/>
      <c r="E635" s="624"/>
      <c r="F635" s="625"/>
      <c r="G635" s="498"/>
      <c r="H635" s="430"/>
      <c r="I635" s="164"/>
      <c r="J635" s="164"/>
      <c r="K635" s="165"/>
      <c r="L635" s="165"/>
      <c r="M635" s="165"/>
      <c r="N635" s="164"/>
      <c r="O635" s="164"/>
      <c r="P635" s="164"/>
      <c r="Q635" s="164"/>
      <c r="R635" s="164"/>
    </row>
    <row r="636" spans="1:18" s="149" customFormat="1" ht="15">
      <c r="A636" s="135">
        <v>6</v>
      </c>
      <c r="B636" s="497" t="s">
        <v>1226</v>
      </c>
      <c r="I636" s="164"/>
      <c r="J636" s="164"/>
      <c r="R636" s="164"/>
    </row>
    <row r="637" spans="1:18" s="149" customFormat="1" ht="15">
      <c r="A637" s="135"/>
      <c r="B637" s="598" t="s">
        <v>1365</v>
      </c>
      <c r="C637" s="121">
        <v>1</v>
      </c>
      <c r="D637" s="401">
        <v>4.5</v>
      </c>
      <c r="E637" s="401">
        <v>0.75</v>
      </c>
      <c r="F637" s="401">
        <f>0.5*0.3</f>
        <v>0.15</v>
      </c>
      <c r="G637" s="402">
        <f>F637*E637*D637*C637</f>
        <v>0.50624999999999998</v>
      </c>
      <c r="I637" s="164"/>
      <c r="J637" s="164"/>
      <c r="R637" s="164"/>
    </row>
    <row r="638" spans="1:18" s="149" customFormat="1" ht="15">
      <c r="A638" s="135"/>
      <c r="B638" s="598"/>
      <c r="C638" s="121">
        <v>1</v>
      </c>
      <c r="D638" s="401">
        <v>4.5</v>
      </c>
      <c r="E638" s="401">
        <v>0.5</v>
      </c>
      <c r="F638" s="401">
        <v>0.3</v>
      </c>
      <c r="G638" s="402">
        <f t="shared" ref="G638:G643" si="19">F638*E638*D638*C638</f>
        <v>0.67499999999999993</v>
      </c>
      <c r="I638" s="164"/>
      <c r="J638" s="164"/>
      <c r="R638" s="164"/>
    </row>
    <row r="639" spans="1:18" s="149" customFormat="1" ht="15">
      <c r="A639" s="135"/>
      <c r="B639" s="598"/>
      <c r="C639" s="121">
        <v>1</v>
      </c>
      <c r="D639" s="401">
        <v>4.5</v>
      </c>
      <c r="E639" s="401">
        <v>0.25</v>
      </c>
      <c r="F639" s="401">
        <f>F638+0.15</f>
        <v>0.44999999999999996</v>
      </c>
      <c r="G639" s="402">
        <f t="shared" si="19"/>
        <v>0.50624999999999998</v>
      </c>
      <c r="I639" s="164"/>
      <c r="J639" s="164"/>
      <c r="R639" s="164"/>
    </row>
    <row r="640" spans="1:18" s="149" customFormat="1" ht="15">
      <c r="A640" s="135"/>
      <c r="B640" s="598"/>
      <c r="C640" s="121">
        <v>2</v>
      </c>
      <c r="D640" s="401">
        <v>2.4</v>
      </c>
      <c r="E640" s="401">
        <v>0.5</v>
      </c>
      <c r="F640" s="401">
        <v>0.15</v>
      </c>
      <c r="G640" s="402">
        <f t="shared" si="19"/>
        <v>0.36</v>
      </c>
      <c r="I640" s="164"/>
      <c r="J640" s="164"/>
      <c r="R640" s="164"/>
    </row>
    <row r="641" spans="1:18" s="149" customFormat="1" ht="15">
      <c r="A641" s="135"/>
      <c r="B641" s="598"/>
      <c r="C641" s="121">
        <v>2</v>
      </c>
      <c r="D641" s="401">
        <v>2.4</v>
      </c>
      <c r="E641" s="401">
        <v>0.25</v>
      </c>
      <c r="F641" s="401">
        <v>0.3</v>
      </c>
      <c r="G641" s="402">
        <f t="shared" si="19"/>
        <v>0.36</v>
      </c>
      <c r="I641" s="164"/>
      <c r="J641" s="164"/>
      <c r="R641" s="164"/>
    </row>
    <row r="642" spans="1:18" s="149" customFormat="1" ht="15">
      <c r="A642" s="135"/>
      <c r="B642" s="598"/>
      <c r="C642" s="121">
        <v>2</v>
      </c>
      <c r="D642" s="401">
        <v>1.8</v>
      </c>
      <c r="E642" s="401">
        <v>0.5</v>
      </c>
      <c r="F642" s="401">
        <v>0.15</v>
      </c>
      <c r="G642" s="402">
        <f t="shared" si="19"/>
        <v>0.27</v>
      </c>
      <c r="I642" s="164"/>
      <c r="J642" s="164"/>
      <c r="R642" s="164"/>
    </row>
    <row r="643" spans="1:18" s="149" customFormat="1" ht="15">
      <c r="A643" s="135"/>
      <c r="B643" s="598"/>
      <c r="C643" s="121">
        <v>2</v>
      </c>
      <c r="D643" s="401">
        <v>1.8</v>
      </c>
      <c r="E643" s="401">
        <v>0.25</v>
      </c>
      <c r="F643" s="401">
        <v>0.15</v>
      </c>
      <c r="G643" s="402">
        <f t="shared" si="19"/>
        <v>0.13500000000000001</v>
      </c>
      <c r="I643" s="164"/>
      <c r="J643" s="164"/>
      <c r="R643" s="164"/>
    </row>
    <row r="644" spans="1:18" s="149" customFormat="1">
      <c r="A644" s="135"/>
      <c r="B644" s="20" t="s">
        <v>1227</v>
      </c>
      <c r="C644" s="55">
        <v>1</v>
      </c>
      <c r="D644" s="56">
        <v>279.83999999999997</v>
      </c>
      <c r="E644" s="56">
        <v>0.25</v>
      </c>
      <c r="F644" s="56">
        <v>0.45</v>
      </c>
      <c r="G644" s="597">
        <f>F644*E644*D644*C644</f>
        <v>31.481999999999999</v>
      </c>
      <c r="I644" s="164"/>
      <c r="J644" s="164"/>
      <c r="K644" s="165"/>
      <c r="L644" s="165"/>
      <c r="M644" s="165"/>
      <c r="N644" s="164"/>
      <c r="O644" s="164"/>
      <c r="P644" s="164"/>
      <c r="Q644" s="164"/>
      <c r="R644" s="164"/>
    </row>
    <row r="645" spans="1:18" s="149" customFormat="1" ht="15">
      <c r="A645" s="135"/>
      <c r="B645" s="586"/>
      <c r="C645" s="55">
        <v>1</v>
      </c>
      <c r="D645" s="56">
        <f>D644</f>
        <v>279.83999999999997</v>
      </c>
      <c r="E645" s="56">
        <f>1.25*0.3</f>
        <v>0.375</v>
      </c>
      <c r="F645" s="56">
        <f>0.5*0.3</f>
        <v>0.15</v>
      </c>
      <c r="G645" s="597">
        <f>F645*E645*D645*C645</f>
        <v>15.740999999999998</v>
      </c>
      <c r="I645" s="164"/>
      <c r="J645" s="164"/>
      <c r="K645" s="165"/>
      <c r="L645" s="165"/>
      <c r="M645" s="165"/>
      <c r="N645" s="164"/>
      <c r="O645" s="164"/>
      <c r="P645" s="164"/>
      <c r="Q645" s="164"/>
      <c r="R645" s="164"/>
    </row>
    <row r="646" spans="1:18" s="149" customFormat="1" ht="15">
      <c r="A646" s="135"/>
      <c r="B646" s="586"/>
      <c r="C646" s="55">
        <v>1</v>
      </c>
      <c r="D646" s="56">
        <f>D645</f>
        <v>279.83999999999997</v>
      </c>
      <c r="E646" s="56">
        <v>0.5</v>
      </c>
      <c r="F646" s="56">
        <v>0.15</v>
      </c>
      <c r="G646" s="599">
        <f>F646*E646*D646*C646</f>
        <v>20.987999999999996</v>
      </c>
      <c r="I646" s="164"/>
      <c r="J646" s="164"/>
      <c r="K646" s="165"/>
      <c r="L646" s="165"/>
      <c r="M646" s="165"/>
      <c r="N646" s="164"/>
      <c r="O646" s="164"/>
      <c r="P646" s="164"/>
      <c r="Q646" s="164"/>
      <c r="R646" s="164"/>
    </row>
    <row r="647" spans="1:18" s="149" customFormat="1" ht="15">
      <c r="A647" s="135"/>
      <c r="B647" s="586"/>
      <c r="C647" s="55"/>
      <c r="D647" s="56"/>
      <c r="E647" s="56"/>
      <c r="F647" s="56"/>
      <c r="G647" s="597">
        <f>SUM(G637:G646)</f>
        <v>71.023499999999999</v>
      </c>
      <c r="I647" s="164"/>
      <c r="J647" s="164"/>
      <c r="K647" s="165"/>
      <c r="L647" s="165"/>
      <c r="M647" s="165"/>
      <c r="N647" s="164"/>
      <c r="O647" s="164"/>
      <c r="P647" s="164"/>
      <c r="Q647" s="164"/>
      <c r="R647" s="164"/>
    </row>
    <row r="648" spans="1:18" s="149" customFormat="1" ht="15">
      <c r="A648" s="135"/>
      <c r="B648" s="586"/>
      <c r="C648" s="55"/>
      <c r="D648" s="56"/>
      <c r="E648" s="56"/>
      <c r="F648" s="56"/>
      <c r="G648" s="656">
        <f>G647*10%</f>
        <v>7.1023500000000004</v>
      </c>
      <c r="I648" s="164"/>
      <c r="J648" s="164"/>
      <c r="K648" s="165"/>
      <c r="L648" s="165"/>
      <c r="M648" s="165"/>
      <c r="N648" s="164"/>
      <c r="O648" s="164"/>
      <c r="P648" s="164"/>
      <c r="Q648" s="164"/>
      <c r="R648" s="164"/>
    </row>
    <row r="649" spans="1:18" s="149" customFormat="1">
      <c r="A649" s="135"/>
      <c r="C649" s="186"/>
      <c r="D649" s="544"/>
      <c r="E649" s="544"/>
      <c r="F649" s="544"/>
      <c r="G649" s="551">
        <f>G648+G647</f>
        <v>78.12585</v>
      </c>
      <c r="H649" s="143" t="s">
        <v>25</v>
      </c>
      <c r="I649" s="164"/>
      <c r="J649" s="164"/>
      <c r="K649" s="165"/>
      <c r="L649" s="165"/>
      <c r="M649" s="165"/>
      <c r="N649" s="164"/>
      <c r="O649" s="164"/>
      <c r="P649" s="164"/>
      <c r="Q649" s="164"/>
      <c r="R649" s="164"/>
    </row>
    <row r="650" spans="1:18" s="149" customFormat="1">
      <c r="A650" s="135"/>
      <c r="B650" s="164"/>
      <c r="C650" s="164"/>
      <c r="D650" s="164"/>
      <c r="E650" s="165"/>
      <c r="F650" s="164"/>
      <c r="G650" s="554"/>
      <c r="H650" s="166"/>
      <c r="I650" s="164"/>
      <c r="J650" s="164"/>
      <c r="K650" s="165"/>
      <c r="L650" s="165"/>
      <c r="M650" s="165"/>
      <c r="N650" s="164"/>
      <c r="O650" s="164"/>
      <c r="P650" s="164"/>
      <c r="Q650" s="164"/>
      <c r="R650" s="164"/>
    </row>
    <row r="651" spans="1:18" s="149" customFormat="1" ht="15">
      <c r="A651" s="135">
        <v>7</v>
      </c>
      <c r="B651" s="497" t="s">
        <v>1163</v>
      </c>
      <c r="C651" s="121"/>
      <c r="D651" s="121"/>
      <c r="E651" s="121"/>
      <c r="F651" s="121"/>
      <c r="H651" s="430"/>
      <c r="I651" s="164"/>
      <c r="J651" s="164"/>
      <c r="K651" s="165"/>
      <c r="L651" s="165"/>
      <c r="M651" s="165"/>
      <c r="N651" s="164"/>
      <c r="O651" s="164"/>
      <c r="P651" s="164"/>
      <c r="Q651" s="164"/>
      <c r="R651" s="164"/>
    </row>
    <row r="652" spans="1:18" s="149" customFormat="1" ht="15">
      <c r="A652" s="135"/>
      <c r="B652" s="499" t="s">
        <v>1051</v>
      </c>
      <c r="C652" s="121"/>
      <c r="D652" s="121"/>
      <c r="E652" s="121"/>
      <c r="F652" s="121"/>
      <c r="G652" s="498"/>
      <c r="H652" s="430"/>
      <c r="I652" s="164"/>
      <c r="J652" s="164"/>
      <c r="K652" s="165"/>
      <c r="L652" s="165"/>
      <c r="M652" s="165"/>
      <c r="N652" s="164"/>
      <c r="O652" s="164"/>
      <c r="P652" s="164"/>
      <c r="Q652" s="164"/>
      <c r="R652" s="164"/>
    </row>
    <row r="653" spans="1:18" s="149" customFormat="1" ht="15">
      <c r="A653" s="36"/>
      <c r="B653" s="564"/>
      <c r="C653" s="55">
        <v>8</v>
      </c>
      <c r="D653" s="184">
        <v>5.28</v>
      </c>
      <c r="E653" s="184">
        <v>0.25</v>
      </c>
      <c r="F653" s="184">
        <v>3.6</v>
      </c>
      <c r="G653" s="593">
        <f>F653*E653*D653*C653</f>
        <v>38.016000000000005</v>
      </c>
      <c r="H653" s="430"/>
      <c r="I653" s="164"/>
      <c r="J653" s="164"/>
      <c r="K653" s="165"/>
      <c r="L653" s="165"/>
      <c r="M653" s="165"/>
      <c r="N653" s="164"/>
      <c r="O653" s="164"/>
      <c r="P653" s="164"/>
      <c r="Q653" s="164"/>
      <c r="R653" s="164"/>
    </row>
    <row r="654" spans="1:18" s="149" customFormat="1" ht="15">
      <c r="A654" s="36"/>
      <c r="B654" s="564"/>
      <c r="C654" s="55">
        <v>8</v>
      </c>
      <c r="D654" s="184">
        <v>7.43</v>
      </c>
      <c r="E654" s="184">
        <v>0.25</v>
      </c>
      <c r="F654" s="184">
        <v>3.6</v>
      </c>
      <c r="G654" s="593">
        <f t="shared" ref="G654:G679" si="20">F654*E654*D654*C654</f>
        <v>53.496000000000002</v>
      </c>
      <c r="H654" s="430"/>
      <c r="I654" s="164"/>
      <c r="J654" s="164"/>
      <c r="K654" s="165"/>
      <c r="L654" s="165"/>
      <c r="M654" s="165"/>
      <c r="N654" s="164"/>
      <c r="O654" s="164"/>
      <c r="P654" s="164"/>
      <c r="Q654" s="164"/>
      <c r="R654" s="164"/>
    </row>
    <row r="655" spans="1:18" s="149" customFormat="1" ht="15">
      <c r="A655" s="36"/>
      <c r="B655" s="564"/>
      <c r="C655" s="55">
        <v>4</v>
      </c>
      <c r="D655" s="184">
        <v>7.43</v>
      </c>
      <c r="E655" s="184">
        <v>0.125</v>
      </c>
      <c r="F655" s="184">
        <v>3.6</v>
      </c>
      <c r="G655" s="593">
        <f t="shared" si="20"/>
        <v>13.374000000000001</v>
      </c>
      <c r="H655" s="430"/>
      <c r="I655" s="164"/>
      <c r="J655" s="164"/>
      <c r="K655" s="165"/>
      <c r="L655" s="165"/>
      <c r="M655" s="165"/>
      <c r="N655" s="164"/>
      <c r="O655" s="164"/>
      <c r="P655" s="164"/>
      <c r="Q655" s="164"/>
      <c r="R655" s="164"/>
    </row>
    <row r="656" spans="1:18" s="149" customFormat="1" ht="15">
      <c r="A656" s="36"/>
      <c r="B656" s="564"/>
      <c r="C656" s="55">
        <v>4</v>
      </c>
      <c r="D656" s="184">
        <v>2.5550000000000002</v>
      </c>
      <c r="E656" s="184">
        <v>0.125</v>
      </c>
      <c r="F656" s="184">
        <v>3.6</v>
      </c>
      <c r="G656" s="593">
        <f t="shared" si="20"/>
        <v>4.5990000000000002</v>
      </c>
      <c r="H656" s="430"/>
      <c r="I656" s="164"/>
      <c r="J656" s="164"/>
      <c r="K656" s="165"/>
      <c r="L656" s="165"/>
      <c r="M656" s="165"/>
      <c r="N656" s="164"/>
      <c r="O656" s="164"/>
      <c r="P656" s="164"/>
      <c r="Q656" s="164"/>
      <c r="R656" s="164"/>
    </row>
    <row r="657" spans="1:18" s="149" customFormat="1" ht="15">
      <c r="A657" s="36"/>
      <c r="B657" s="564"/>
      <c r="C657" s="55">
        <v>20</v>
      </c>
      <c r="D657" s="184">
        <v>1.41</v>
      </c>
      <c r="E657" s="184">
        <v>0.125</v>
      </c>
      <c r="F657" s="184">
        <v>3.6</v>
      </c>
      <c r="G657" s="593">
        <f t="shared" si="20"/>
        <v>12.69</v>
      </c>
      <c r="H657" s="430"/>
      <c r="I657" s="164"/>
      <c r="J657" s="164"/>
      <c r="K657" s="165"/>
      <c r="L657" s="165"/>
      <c r="M657" s="165"/>
      <c r="N657" s="164"/>
      <c r="O657" s="164"/>
      <c r="P657" s="164"/>
      <c r="Q657" s="164"/>
      <c r="R657" s="164"/>
    </row>
    <row r="658" spans="1:18" s="149" customFormat="1" ht="15">
      <c r="A658" s="36"/>
      <c r="B658" s="564"/>
      <c r="C658" s="55">
        <v>8</v>
      </c>
      <c r="D658" s="184">
        <v>1.5649999999999999</v>
      </c>
      <c r="E658" s="184">
        <v>0.125</v>
      </c>
      <c r="F658" s="184">
        <v>3.6</v>
      </c>
      <c r="G658" s="593">
        <f t="shared" si="20"/>
        <v>5.6340000000000003</v>
      </c>
      <c r="H658" s="430"/>
      <c r="I658" s="164"/>
      <c r="J658" s="164"/>
      <c r="K658" s="165"/>
      <c r="L658" s="165"/>
      <c r="M658" s="165"/>
      <c r="N658" s="164"/>
      <c r="O658" s="164"/>
      <c r="P658" s="164"/>
      <c r="Q658" s="164"/>
      <c r="R658" s="164"/>
    </row>
    <row r="659" spans="1:18" s="149" customFormat="1" ht="15">
      <c r="A659" s="36"/>
      <c r="B659" s="564"/>
      <c r="C659" s="55">
        <v>4</v>
      </c>
      <c r="D659" s="184">
        <v>1.7250000000000001</v>
      </c>
      <c r="E659" s="184">
        <v>0.125</v>
      </c>
      <c r="F659" s="184">
        <v>3.6</v>
      </c>
      <c r="G659" s="593">
        <f t="shared" si="20"/>
        <v>3.1050000000000004</v>
      </c>
      <c r="H659" s="430"/>
      <c r="I659" s="164"/>
      <c r="J659" s="164"/>
      <c r="K659" s="165"/>
      <c r="L659" s="165"/>
      <c r="M659" s="165"/>
      <c r="N659" s="164"/>
      <c r="O659" s="164"/>
      <c r="P659" s="164"/>
      <c r="Q659" s="164"/>
      <c r="R659" s="164"/>
    </row>
    <row r="660" spans="1:18" s="149" customFormat="1" ht="15">
      <c r="A660" s="36"/>
      <c r="B660" s="564"/>
      <c r="C660" s="55">
        <v>2</v>
      </c>
      <c r="D660" s="184">
        <v>5.085</v>
      </c>
      <c r="E660" s="184">
        <v>0.25</v>
      </c>
      <c r="F660" s="184">
        <v>3.6</v>
      </c>
      <c r="G660" s="593">
        <f t="shared" si="20"/>
        <v>9.1530000000000005</v>
      </c>
      <c r="H660" s="430"/>
      <c r="I660" s="164"/>
      <c r="J660" s="164"/>
      <c r="K660" s="165"/>
      <c r="L660" s="165"/>
      <c r="M660" s="165"/>
      <c r="N660" s="164"/>
      <c r="O660" s="164"/>
      <c r="P660" s="164"/>
      <c r="Q660" s="164"/>
      <c r="R660" s="164"/>
    </row>
    <row r="661" spans="1:18" s="149" customFormat="1" ht="15">
      <c r="A661" s="36"/>
      <c r="B661" s="564"/>
      <c r="C661" s="55">
        <v>8</v>
      </c>
      <c r="D661" s="184">
        <v>3.9449999999999998</v>
      </c>
      <c r="E661" s="184">
        <v>0.25</v>
      </c>
      <c r="F661" s="184">
        <v>3.6</v>
      </c>
      <c r="G661" s="593">
        <f t="shared" si="20"/>
        <v>28.404</v>
      </c>
      <c r="H661" s="430"/>
      <c r="I661" s="164"/>
      <c r="J661" s="164"/>
      <c r="K661" s="165"/>
      <c r="L661" s="165"/>
      <c r="M661" s="165"/>
      <c r="N661" s="164"/>
      <c r="O661" s="164"/>
      <c r="P661" s="164"/>
      <c r="Q661" s="164"/>
      <c r="R661" s="164"/>
    </row>
    <row r="662" spans="1:18" s="149" customFormat="1" ht="15">
      <c r="A662" s="36"/>
      <c r="B662" s="564"/>
      <c r="C662" s="55">
        <v>3</v>
      </c>
      <c r="D662" s="184">
        <v>5.7450000000000001</v>
      </c>
      <c r="E662" s="184">
        <v>0.25</v>
      </c>
      <c r="F662" s="184">
        <v>3.6</v>
      </c>
      <c r="G662" s="593">
        <f t="shared" si="20"/>
        <v>15.511500000000002</v>
      </c>
      <c r="H662" s="430"/>
      <c r="I662" s="164"/>
      <c r="J662" s="164"/>
      <c r="K662" s="165"/>
      <c r="L662" s="165"/>
      <c r="M662" s="165"/>
      <c r="N662" s="164"/>
      <c r="O662" s="164"/>
      <c r="P662" s="164"/>
      <c r="Q662" s="164"/>
      <c r="R662" s="164"/>
    </row>
    <row r="663" spans="1:18" s="149" customFormat="1" ht="15">
      <c r="A663" s="36"/>
      <c r="B663" s="564"/>
      <c r="C663" s="55">
        <v>1</v>
      </c>
      <c r="D663" s="184">
        <v>2.52</v>
      </c>
      <c r="E663" s="184">
        <v>0.125</v>
      </c>
      <c r="F663" s="184">
        <v>3.6</v>
      </c>
      <c r="G663" s="593">
        <f t="shared" si="20"/>
        <v>1.1340000000000001</v>
      </c>
      <c r="H663" s="430"/>
      <c r="I663" s="164"/>
      <c r="J663" s="164"/>
      <c r="K663" s="165"/>
      <c r="L663" s="165"/>
      <c r="M663" s="165"/>
      <c r="N663" s="164"/>
      <c r="O663" s="164"/>
      <c r="P663" s="164"/>
      <c r="Q663" s="164"/>
      <c r="R663" s="164"/>
    </row>
    <row r="664" spans="1:18" s="149" customFormat="1" ht="15">
      <c r="A664" s="36"/>
      <c r="B664" s="564"/>
      <c r="C664" s="55">
        <v>1</v>
      </c>
      <c r="D664" s="184">
        <v>4.37</v>
      </c>
      <c r="E664" s="184">
        <v>0.125</v>
      </c>
      <c r="F664" s="184">
        <v>3.6</v>
      </c>
      <c r="G664" s="593">
        <f t="shared" si="20"/>
        <v>1.9665000000000001</v>
      </c>
      <c r="H664" s="430"/>
      <c r="I664" s="164"/>
      <c r="J664" s="164"/>
      <c r="K664" s="165"/>
      <c r="L664" s="165"/>
      <c r="M664" s="165"/>
      <c r="N664" s="164"/>
      <c r="O664" s="164"/>
      <c r="P664" s="164"/>
      <c r="Q664" s="164"/>
      <c r="R664" s="164"/>
    </row>
    <row r="665" spans="1:18" s="149" customFormat="1" ht="15">
      <c r="A665" s="36"/>
      <c r="B665" s="564"/>
      <c r="C665" s="55">
        <v>1</v>
      </c>
      <c r="D665" s="184">
        <v>2.0299999999999998</v>
      </c>
      <c r="E665" s="184">
        <v>0.125</v>
      </c>
      <c r="F665" s="184">
        <v>3.6</v>
      </c>
      <c r="G665" s="593">
        <f t="shared" si="20"/>
        <v>0.91349999999999998</v>
      </c>
      <c r="H665" s="430"/>
      <c r="I665" s="164"/>
      <c r="J665" s="164"/>
      <c r="K665" s="165"/>
      <c r="L665" s="165"/>
      <c r="M665" s="165"/>
      <c r="N665" s="164"/>
      <c r="O665" s="164"/>
      <c r="P665" s="164"/>
      <c r="Q665" s="164"/>
      <c r="R665" s="164"/>
    </row>
    <row r="666" spans="1:18" s="149" customFormat="1" ht="15">
      <c r="A666" s="36"/>
      <c r="B666" s="564"/>
      <c r="C666" s="55">
        <v>1</v>
      </c>
      <c r="D666" s="184">
        <v>1.905</v>
      </c>
      <c r="E666" s="184">
        <v>0.125</v>
      </c>
      <c r="F666" s="184">
        <v>3.6</v>
      </c>
      <c r="G666" s="593">
        <f t="shared" si="20"/>
        <v>0.85725000000000007</v>
      </c>
      <c r="H666" s="430"/>
      <c r="I666" s="164"/>
      <c r="J666" s="164"/>
      <c r="K666" s="165"/>
      <c r="L666" s="165"/>
      <c r="M666" s="165"/>
      <c r="N666" s="164"/>
      <c r="O666" s="164"/>
      <c r="P666" s="164"/>
      <c r="Q666" s="164"/>
      <c r="R666" s="164"/>
    </row>
    <row r="667" spans="1:18" s="149" customFormat="1" ht="15">
      <c r="A667" s="36"/>
      <c r="B667" s="564"/>
      <c r="C667" s="55">
        <v>1</v>
      </c>
      <c r="D667" s="184">
        <v>1.5249999999999999</v>
      </c>
      <c r="E667" s="184">
        <v>0.125</v>
      </c>
      <c r="F667" s="184">
        <v>3.6</v>
      </c>
      <c r="G667" s="593">
        <f t="shared" si="20"/>
        <v>0.68625000000000003</v>
      </c>
      <c r="H667" s="430"/>
      <c r="I667" s="164"/>
      <c r="J667" s="164"/>
      <c r="K667" s="165"/>
      <c r="L667" s="165"/>
      <c r="M667" s="165"/>
      <c r="N667" s="164"/>
      <c r="O667" s="164"/>
      <c r="P667" s="164"/>
      <c r="Q667" s="164"/>
      <c r="R667" s="164"/>
    </row>
    <row r="668" spans="1:18" s="149" customFormat="1" ht="15">
      <c r="A668" s="36"/>
      <c r="B668" s="564"/>
      <c r="C668" s="55">
        <v>2</v>
      </c>
      <c r="D668" s="184">
        <v>27.375</v>
      </c>
      <c r="E668" s="184">
        <v>0.25</v>
      </c>
      <c r="F668" s="184">
        <v>3.6</v>
      </c>
      <c r="G668" s="593">
        <f t="shared" si="20"/>
        <v>49.274999999999999</v>
      </c>
      <c r="H668" s="430"/>
      <c r="I668" s="164"/>
      <c r="J668" s="164"/>
      <c r="K668" s="165"/>
      <c r="L668" s="165"/>
      <c r="M668" s="165"/>
      <c r="N668" s="164"/>
      <c r="O668" s="164"/>
      <c r="P668" s="164"/>
      <c r="Q668" s="164"/>
      <c r="R668" s="164"/>
    </row>
    <row r="669" spans="1:18" s="149" customFormat="1" ht="15">
      <c r="A669" s="36"/>
      <c r="B669" s="564"/>
      <c r="C669" s="55">
        <v>2</v>
      </c>
      <c r="D669" s="184">
        <v>2.0499999999999998</v>
      </c>
      <c r="E669" s="184">
        <v>0.25</v>
      </c>
      <c r="F669" s="184">
        <v>3.6</v>
      </c>
      <c r="G669" s="593">
        <f t="shared" si="20"/>
        <v>3.69</v>
      </c>
      <c r="H669" s="430"/>
      <c r="I669" s="164"/>
      <c r="J669" s="164"/>
      <c r="K669" s="165"/>
      <c r="L669" s="165"/>
      <c r="M669" s="165"/>
      <c r="N669" s="164"/>
      <c r="O669" s="164"/>
      <c r="P669" s="164"/>
      <c r="Q669" s="164"/>
      <c r="R669" s="164"/>
    </row>
    <row r="670" spans="1:18" s="149" customFormat="1" ht="15">
      <c r="A670" s="36"/>
      <c r="B670" s="564"/>
      <c r="C670" s="55">
        <v>2</v>
      </c>
      <c r="D670" s="184">
        <v>5.03</v>
      </c>
      <c r="E670" s="184">
        <v>0.25</v>
      </c>
      <c r="F670" s="184">
        <v>3.6</v>
      </c>
      <c r="G670" s="593">
        <f t="shared" si="20"/>
        <v>9.0540000000000003</v>
      </c>
      <c r="H670" s="430"/>
      <c r="I670" s="164"/>
      <c r="J670" s="164"/>
      <c r="K670" s="165"/>
      <c r="L670" s="165"/>
      <c r="M670" s="165"/>
      <c r="N670" s="164"/>
      <c r="O670" s="164"/>
      <c r="P670" s="164"/>
      <c r="Q670" s="164"/>
      <c r="R670" s="164"/>
    </row>
    <row r="671" spans="1:18" s="149" customFormat="1" ht="15">
      <c r="A671" s="36"/>
      <c r="B671" s="564"/>
      <c r="C671" s="55">
        <v>8</v>
      </c>
      <c r="D671" s="184">
        <v>10.935</v>
      </c>
      <c r="E671" s="184">
        <v>0.25</v>
      </c>
      <c r="F671" s="184">
        <v>3.6</v>
      </c>
      <c r="G671" s="593">
        <f t="shared" si="20"/>
        <v>78.731999999999999</v>
      </c>
      <c r="H671" s="430"/>
      <c r="I671" s="164"/>
      <c r="J671" s="164"/>
      <c r="K671" s="165"/>
      <c r="L671" s="165"/>
      <c r="M671" s="165"/>
      <c r="N671" s="164"/>
      <c r="O671" s="164"/>
      <c r="P671" s="164"/>
      <c r="Q671" s="164"/>
      <c r="R671" s="164"/>
    </row>
    <row r="672" spans="1:18" s="149" customFormat="1" ht="15">
      <c r="A672" s="36"/>
      <c r="B672" s="564"/>
      <c r="C672" s="55">
        <v>8</v>
      </c>
      <c r="D672" s="184">
        <v>5.53</v>
      </c>
      <c r="E672" s="184">
        <v>0.25</v>
      </c>
      <c r="F672" s="184">
        <v>3.6</v>
      </c>
      <c r="G672" s="593">
        <f t="shared" si="20"/>
        <v>39.816000000000003</v>
      </c>
      <c r="H672" s="430"/>
      <c r="I672" s="164"/>
      <c r="J672" s="164"/>
      <c r="K672" s="165"/>
      <c r="L672" s="165"/>
      <c r="M672" s="165"/>
      <c r="N672" s="164"/>
      <c r="O672" s="164"/>
      <c r="P672" s="164"/>
      <c r="Q672" s="164"/>
      <c r="R672" s="164"/>
    </row>
    <row r="673" spans="1:18" s="149" customFormat="1" ht="15">
      <c r="A673" s="36"/>
      <c r="B673" s="564"/>
      <c r="C673" s="55">
        <v>2</v>
      </c>
      <c r="D673" s="184">
        <v>5.28</v>
      </c>
      <c r="E673" s="184">
        <v>0.25</v>
      </c>
      <c r="F673" s="184">
        <v>3.6</v>
      </c>
      <c r="G673" s="593">
        <f t="shared" si="20"/>
        <v>9.5040000000000013</v>
      </c>
      <c r="H673" s="430"/>
      <c r="I673" s="164"/>
      <c r="J673" s="164"/>
      <c r="K673" s="165"/>
      <c r="L673" s="165"/>
      <c r="M673" s="165"/>
      <c r="N673" s="164"/>
      <c r="O673" s="164"/>
      <c r="P673" s="164"/>
      <c r="Q673" s="164"/>
      <c r="R673" s="164"/>
    </row>
    <row r="674" spans="1:18" s="149" customFormat="1" ht="15">
      <c r="A674" s="36"/>
      <c r="B674" s="564"/>
      <c r="C674" s="55">
        <v>6</v>
      </c>
      <c r="D674" s="184">
        <v>4.78</v>
      </c>
      <c r="E674" s="184">
        <v>0.25</v>
      </c>
      <c r="F674" s="184">
        <v>3.6</v>
      </c>
      <c r="G674" s="593">
        <f t="shared" si="20"/>
        <v>25.812000000000005</v>
      </c>
      <c r="H674" s="430"/>
      <c r="I674" s="164"/>
      <c r="J674" s="164"/>
      <c r="K674" s="165"/>
      <c r="L674" s="165"/>
      <c r="M674" s="165"/>
      <c r="N674" s="164"/>
      <c r="O674" s="164"/>
      <c r="P674" s="164"/>
      <c r="Q674" s="164"/>
      <c r="R674" s="164"/>
    </row>
    <row r="675" spans="1:18" s="149" customFormat="1" ht="15">
      <c r="A675" s="36"/>
      <c r="B675" s="564"/>
      <c r="C675" s="55">
        <v>6</v>
      </c>
      <c r="D675" s="184">
        <v>15.38</v>
      </c>
      <c r="E675" s="184">
        <v>0.25</v>
      </c>
      <c r="F675" s="184">
        <v>3.6</v>
      </c>
      <c r="G675" s="593">
        <f t="shared" si="20"/>
        <v>83.052000000000007</v>
      </c>
      <c r="H675" s="430"/>
      <c r="I675" s="164"/>
      <c r="J675" s="164"/>
      <c r="K675" s="165"/>
      <c r="L675" s="165"/>
      <c r="M675" s="165"/>
      <c r="N675" s="164"/>
      <c r="O675" s="164"/>
      <c r="P675" s="164"/>
      <c r="Q675" s="164"/>
      <c r="R675" s="164"/>
    </row>
    <row r="676" spans="1:18" s="149" customFormat="1" ht="15">
      <c r="A676" s="36"/>
      <c r="B676" s="564"/>
      <c r="C676" s="55">
        <v>1</v>
      </c>
      <c r="D676" s="184">
        <v>4.5</v>
      </c>
      <c r="E676" s="184">
        <v>0.25</v>
      </c>
      <c r="F676" s="184">
        <v>3.6</v>
      </c>
      <c r="G676" s="593">
        <f t="shared" si="20"/>
        <v>4.05</v>
      </c>
      <c r="H676" s="430"/>
      <c r="I676" s="164"/>
      <c r="J676" s="164"/>
      <c r="K676" s="165"/>
      <c r="L676" s="165"/>
      <c r="M676" s="165"/>
      <c r="N676" s="164"/>
      <c r="O676" s="164"/>
      <c r="P676" s="164"/>
      <c r="Q676" s="164"/>
      <c r="R676" s="164"/>
    </row>
    <row r="677" spans="1:18" s="149" customFormat="1" ht="15">
      <c r="A677" s="36"/>
      <c r="B677" s="564"/>
      <c r="C677" s="55">
        <v>1</v>
      </c>
      <c r="D677" s="184">
        <v>1.35</v>
      </c>
      <c r="E677" s="184">
        <v>0.125</v>
      </c>
      <c r="F677" s="184">
        <v>3.6</v>
      </c>
      <c r="G677" s="593">
        <f t="shared" si="20"/>
        <v>0.60750000000000004</v>
      </c>
      <c r="H677" s="430"/>
      <c r="I677" s="164"/>
      <c r="J677" s="164"/>
      <c r="K677" s="165"/>
      <c r="L677" s="165"/>
      <c r="M677" s="165"/>
      <c r="N677" s="164"/>
      <c r="O677" s="164"/>
      <c r="P677" s="164"/>
      <c r="Q677" s="164"/>
      <c r="R677" s="164"/>
    </row>
    <row r="678" spans="1:18" s="149" customFormat="1" ht="15">
      <c r="A678" s="36"/>
      <c r="B678" s="564"/>
      <c r="C678" s="55">
        <v>1</v>
      </c>
      <c r="D678" s="184">
        <v>2.2250000000000001</v>
      </c>
      <c r="E678" s="184">
        <v>0.125</v>
      </c>
      <c r="F678" s="184">
        <v>3.6</v>
      </c>
      <c r="G678" s="593">
        <f t="shared" si="20"/>
        <v>1.00125</v>
      </c>
      <c r="H678" s="430"/>
      <c r="I678" s="164"/>
      <c r="J678" s="164"/>
      <c r="K678" s="165"/>
      <c r="L678" s="165"/>
      <c r="M678" s="165"/>
      <c r="N678" s="164"/>
      <c r="O678" s="164"/>
      <c r="P678" s="164"/>
      <c r="Q678" s="164"/>
      <c r="R678" s="164"/>
    </row>
    <row r="679" spans="1:18" s="164" customFormat="1" ht="15">
      <c r="A679" s="505"/>
      <c r="B679" s="517" t="s">
        <v>1373</v>
      </c>
      <c r="C679" s="55">
        <v>48</v>
      </c>
      <c r="D679" s="184">
        <v>0.3</v>
      </c>
      <c r="E679" s="184">
        <v>0.15</v>
      </c>
      <c r="F679" s="184">
        <f>4.5*0.3</f>
        <v>1.3499999999999999</v>
      </c>
      <c r="G679" s="594">
        <f t="shared" si="20"/>
        <v>2.9159999999999995</v>
      </c>
      <c r="H679" s="166"/>
      <c r="K679" s="165"/>
      <c r="L679" s="165"/>
      <c r="M679" s="165"/>
    </row>
    <row r="680" spans="1:18" s="149" customFormat="1">
      <c r="A680" s="36"/>
      <c r="C680" s="165"/>
      <c r="D680" s="165"/>
      <c r="E680" s="165"/>
      <c r="F680" s="173"/>
      <c r="G680" s="413">
        <f>SUM(G653:G679)</f>
        <v>497.04975000000007</v>
      </c>
      <c r="H680" s="430"/>
      <c r="I680" s="164"/>
      <c r="J680" s="164"/>
      <c r="K680" s="165"/>
      <c r="L680" s="165"/>
      <c r="M680" s="165"/>
      <c r="N680" s="164"/>
      <c r="O680" s="164"/>
      <c r="P680" s="164"/>
      <c r="Q680" s="164"/>
      <c r="R680" s="164"/>
    </row>
    <row r="681" spans="1:18" s="149" customFormat="1">
      <c r="A681" s="36"/>
      <c r="C681" s="121"/>
      <c r="D681" s="121"/>
      <c r="E681" s="121"/>
      <c r="F681" s="120"/>
      <c r="G681" s="406"/>
      <c r="H681" s="430"/>
      <c r="I681" s="164"/>
      <c r="J681" s="164"/>
      <c r="K681" s="165"/>
      <c r="L681" s="165"/>
      <c r="M681" s="165"/>
      <c r="N681" s="164"/>
      <c r="O681" s="164"/>
      <c r="P681" s="164"/>
      <c r="Q681" s="164"/>
      <c r="R681" s="164"/>
    </row>
    <row r="682" spans="1:18" s="149" customFormat="1">
      <c r="A682" s="36"/>
      <c r="B682" s="149" t="s">
        <v>1228</v>
      </c>
      <c r="C682" s="55"/>
      <c r="D682" s="55"/>
      <c r="E682" s="55"/>
      <c r="F682" s="55"/>
      <c r="H682" s="430"/>
      <c r="I682" s="164"/>
      <c r="J682" s="164"/>
      <c r="K682" s="165"/>
      <c r="L682" s="165"/>
      <c r="M682" s="165"/>
      <c r="N682" s="164"/>
      <c r="O682" s="164"/>
      <c r="P682" s="164"/>
      <c r="Q682" s="164"/>
      <c r="R682" s="164"/>
    </row>
    <row r="683" spans="1:18" s="149" customFormat="1">
      <c r="A683" s="36"/>
      <c r="B683" s="149" t="s">
        <v>1357</v>
      </c>
      <c r="C683" s="55">
        <v>16</v>
      </c>
      <c r="D683" s="184">
        <v>1.05</v>
      </c>
      <c r="E683" s="184">
        <v>0.25</v>
      </c>
      <c r="F683" s="184">
        <v>2.1</v>
      </c>
      <c r="G683" s="591">
        <f>F683*E683*D683*C683</f>
        <v>8.82</v>
      </c>
      <c r="H683" s="430"/>
      <c r="I683" s="164"/>
      <c r="J683" s="164"/>
      <c r="K683" s="165"/>
      <c r="L683" s="165"/>
      <c r="M683" s="165"/>
      <c r="N683" s="164"/>
      <c r="O683" s="164"/>
      <c r="P683" s="164"/>
      <c r="Q683" s="164"/>
      <c r="R683" s="164"/>
    </row>
    <row r="684" spans="1:18" s="149" customFormat="1">
      <c r="A684" s="36"/>
      <c r="B684" s="149" t="s">
        <v>1358</v>
      </c>
      <c r="C684" s="55">
        <v>6</v>
      </c>
      <c r="D684" s="184">
        <v>0.9</v>
      </c>
      <c r="E684" s="184">
        <v>0.25</v>
      </c>
      <c r="F684" s="184">
        <v>2.1</v>
      </c>
      <c r="G684" s="591">
        <f>F684*E684*D684*C684</f>
        <v>2.835</v>
      </c>
      <c r="H684" s="430"/>
      <c r="I684" s="164"/>
      <c r="J684" s="164"/>
      <c r="K684" s="165"/>
      <c r="L684" s="165"/>
      <c r="M684" s="165"/>
      <c r="N684" s="164"/>
      <c r="O684" s="164"/>
      <c r="P684" s="164"/>
      <c r="Q684" s="164"/>
      <c r="R684" s="164"/>
    </row>
    <row r="685" spans="1:18" s="149" customFormat="1">
      <c r="A685" s="36"/>
      <c r="B685" s="20" t="s">
        <v>1358</v>
      </c>
      <c r="C685" s="55">
        <v>1</v>
      </c>
      <c r="D685" s="184">
        <v>0.9</v>
      </c>
      <c r="E685" s="184">
        <v>0.125</v>
      </c>
      <c r="F685" s="184">
        <v>2.1</v>
      </c>
      <c r="G685" s="591">
        <f t="shared" ref="G685:G691" si="21">F685*E685*D685*C685</f>
        <v>0.23625000000000002</v>
      </c>
      <c r="H685" s="430"/>
      <c r="I685" s="164"/>
      <c r="J685" s="164"/>
      <c r="K685" s="165"/>
      <c r="L685" s="165"/>
      <c r="M685" s="165"/>
      <c r="N685" s="164"/>
      <c r="O685" s="164"/>
      <c r="P685" s="164"/>
      <c r="Q685" s="164"/>
      <c r="R685" s="164"/>
    </row>
    <row r="686" spans="1:18" s="149" customFormat="1">
      <c r="A686" s="36"/>
      <c r="B686" s="149" t="s">
        <v>1359</v>
      </c>
      <c r="C686" s="55">
        <v>33</v>
      </c>
      <c r="D686" s="184">
        <v>0.75</v>
      </c>
      <c r="E686" s="184">
        <v>0.125</v>
      </c>
      <c r="F686" s="184">
        <v>2.1</v>
      </c>
      <c r="G686" s="591">
        <f t="shared" si="21"/>
        <v>6.4968750000000011</v>
      </c>
      <c r="H686" s="430"/>
      <c r="I686" s="164"/>
      <c r="J686" s="164"/>
      <c r="K686" s="165"/>
      <c r="L686" s="165"/>
      <c r="M686" s="165"/>
      <c r="N686" s="164"/>
      <c r="O686" s="164"/>
      <c r="P686" s="164"/>
      <c r="Q686" s="164"/>
      <c r="R686" s="164"/>
    </row>
    <row r="687" spans="1:18" s="149" customFormat="1">
      <c r="A687" s="36"/>
      <c r="B687" s="149" t="s">
        <v>1360</v>
      </c>
      <c r="C687" s="55">
        <v>3</v>
      </c>
      <c r="D687" s="184">
        <v>1.5</v>
      </c>
      <c r="E687" s="184">
        <v>0.25</v>
      </c>
      <c r="F687" s="184">
        <v>2.1</v>
      </c>
      <c r="G687" s="591">
        <f t="shared" si="21"/>
        <v>2.3625000000000003</v>
      </c>
      <c r="H687" s="430"/>
      <c r="I687" s="164"/>
      <c r="J687" s="164"/>
      <c r="K687" s="165"/>
      <c r="L687" s="165"/>
      <c r="M687" s="165"/>
      <c r="N687" s="164"/>
      <c r="O687" s="164"/>
      <c r="P687" s="164"/>
      <c r="Q687" s="164"/>
      <c r="R687" s="164"/>
    </row>
    <row r="688" spans="1:18" s="149" customFormat="1">
      <c r="A688" s="36"/>
      <c r="C688" s="55"/>
      <c r="D688" s="184"/>
      <c r="E688" s="184"/>
      <c r="F688" s="184"/>
      <c r="G688" s="591"/>
      <c r="H688" s="430"/>
      <c r="I688" s="164"/>
      <c r="J688" s="164"/>
      <c r="K688" s="165"/>
      <c r="L688" s="165"/>
      <c r="M688" s="165"/>
      <c r="N688" s="164"/>
      <c r="O688" s="164"/>
      <c r="P688" s="164"/>
      <c r="Q688" s="164"/>
      <c r="R688" s="164"/>
    </row>
    <row r="689" spans="1:18" s="149" customFormat="1">
      <c r="A689" s="36"/>
      <c r="B689" s="149" t="s">
        <v>1224</v>
      </c>
      <c r="C689" s="55">
        <v>41</v>
      </c>
      <c r="D689" s="184">
        <v>1.2</v>
      </c>
      <c r="E689" s="184">
        <v>0.25</v>
      </c>
      <c r="F689" s="184">
        <v>1.35</v>
      </c>
      <c r="G689" s="591">
        <f t="shared" si="21"/>
        <v>16.605</v>
      </c>
      <c r="H689" s="430"/>
      <c r="I689" s="164"/>
      <c r="J689" s="164"/>
      <c r="K689" s="165"/>
      <c r="L689" s="165"/>
      <c r="M689" s="165"/>
      <c r="N689" s="164"/>
      <c r="O689" s="164"/>
      <c r="P689" s="164"/>
      <c r="Q689" s="164"/>
      <c r="R689" s="164"/>
    </row>
    <row r="690" spans="1:18" s="149" customFormat="1">
      <c r="A690" s="36"/>
      <c r="B690" s="224" t="s">
        <v>1361</v>
      </c>
      <c r="C690" s="55">
        <v>6</v>
      </c>
      <c r="D690" s="184">
        <v>1.8</v>
      </c>
      <c r="E690" s="184">
        <v>0.25</v>
      </c>
      <c r="F690" s="184">
        <v>1.35</v>
      </c>
      <c r="G690" s="591">
        <f t="shared" si="21"/>
        <v>3.6450000000000005</v>
      </c>
      <c r="H690" s="430"/>
      <c r="I690" s="164"/>
      <c r="J690" s="164"/>
      <c r="K690" s="165"/>
      <c r="L690" s="165"/>
      <c r="M690" s="165"/>
      <c r="N690" s="164"/>
      <c r="O690" s="164"/>
      <c r="P690" s="164"/>
      <c r="Q690" s="164"/>
      <c r="R690" s="164"/>
    </row>
    <row r="691" spans="1:18" s="149" customFormat="1">
      <c r="A691" s="36"/>
      <c r="B691" s="20" t="s">
        <v>1362</v>
      </c>
      <c r="C691" s="55">
        <v>33</v>
      </c>
      <c r="D691" s="184">
        <v>0.6</v>
      </c>
      <c r="E691" s="184">
        <v>0.25</v>
      </c>
      <c r="F691" s="184">
        <v>0.6</v>
      </c>
      <c r="G691" s="603">
        <f t="shared" si="21"/>
        <v>2.9699999999999998</v>
      </c>
      <c r="H691" s="430"/>
      <c r="I691" s="164"/>
      <c r="J691" s="164"/>
      <c r="K691" s="165">
        <f>29*2</f>
        <v>58</v>
      </c>
      <c r="L691" s="165"/>
      <c r="M691" s="165"/>
      <c r="N691" s="164"/>
      <c r="O691" s="164"/>
      <c r="P691" s="164"/>
      <c r="Q691" s="164"/>
      <c r="R691" s="164"/>
    </row>
    <row r="692" spans="1:18" s="149" customFormat="1" ht="15">
      <c r="A692" s="36"/>
      <c r="C692" s="121"/>
      <c r="D692" s="121"/>
      <c r="E692" s="121"/>
      <c r="F692" s="218"/>
      <c r="G692" s="602">
        <f>SUM(G683:G691)</f>
        <v>43.970625000000005</v>
      </c>
      <c r="H692" s="430"/>
      <c r="I692" s="164"/>
      <c r="J692" s="164"/>
      <c r="K692" s="165"/>
      <c r="L692" s="165"/>
      <c r="M692" s="165"/>
      <c r="N692" s="164"/>
      <c r="O692" s="164"/>
      <c r="P692" s="164"/>
      <c r="Q692" s="164"/>
      <c r="R692" s="164"/>
    </row>
    <row r="693" spans="1:18" s="164" customFormat="1">
      <c r="A693" s="505"/>
      <c r="C693" s="165"/>
      <c r="D693" s="173"/>
      <c r="E693" s="165"/>
      <c r="F693" s="173"/>
      <c r="G693" s="540"/>
      <c r="H693" s="166"/>
      <c r="K693" s="165"/>
      <c r="L693" s="165"/>
      <c r="M693" s="165"/>
    </row>
    <row r="694" spans="1:18" s="164" customFormat="1">
      <c r="A694" s="505"/>
      <c r="C694" s="165"/>
      <c r="D694" s="173"/>
      <c r="E694" s="165"/>
      <c r="F694" s="173"/>
      <c r="G694" s="540">
        <f>G680-G692</f>
        <v>453.07912500000009</v>
      </c>
      <c r="H694" s="166"/>
      <c r="K694" s="165"/>
      <c r="L694" s="165"/>
      <c r="M694" s="165"/>
    </row>
    <row r="695" spans="1:18" s="164" customFormat="1">
      <c r="A695" s="505"/>
      <c r="C695" s="165"/>
      <c r="D695" s="173"/>
      <c r="E695" s="165"/>
      <c r="F695" s="173"/>
      <c r="G695" s="656">
        <f>G694*10%</f>
        <v>45.307912500000015</v>
      </c>
      <c r="H695" s="166"/>
      <c r="K695" s="165"/>
      <c r="L695" s="165"/>
      <c r="M695" s="165"/>
    </row>
    <row r="696" spans="1:18" s="164" customFormat="1" ht="15">
      <c r="A696" s="505"/>
      <c r="C696" s="165"/>
      <c r="D696" s="173"/>
      <c r="E696" s="165"/>
      <c r="F696" s="173"/>
      <c r="G696" s="551">
        <f>G695+G694</f>
        <v>498.38703750000013</v>
      </c>
      <c r="H696" s="509" t="s">
        <v>25</v>
      </c>
      <c r="K696" s="165"/>
      <c r="L696" s="165"/>
      <c r="M696" s="165"/>
    </row>
    <row r="697" spans="1:18" s="164" customFormat="1" ht="15">
      <c r="A697" s="505"/>
      <c r="C697" s="165"/>
      <c r="D697" s="173"/>
      <c r="E697" s="165"/>
      <c r="F697" s="173"/>
      <c r="G697" s="600"/>
      <c r="H697" s="509"/>
      <c r="K697" s="165"/>
      <c r="L697" s="165"/>
      <c r="M697" s="165"/>
    </row>
    <row r="698" spans="1:18" s="264" customFormat="1" ht="15">
      <c r="A698" s="502"/>
      <c r="B698" s="499" t="s">
        <v>1414</v>
      </c>
      <c r="C698" s="121"/>
      <c r="D698" s="401"/>
      <c r="E698" s="121"/>
      <c r="F698" s="120"/>
      <c r="G698" s="432"/>
      <c r="H698" s="503"/>
      <c r="I698" s="504"/>
      <c r="J698" s="504"/>
      <c r="K698" s="177"/>
      <c r="L698" s="177"/>
      <c r="M698" s="177"/>
      <c r="N698" s="504"/>
      <c r="O698" s="504"/>
      <c r="P698" s="504"/>
      <c r="Q698" s="504"/>
      <c r="R698" s="504"/>
    </row>
    <row r="699" spans="1:18" s="264" customFormat="1">
      <c r="A699" s="502"/>
      <c r="C699" s="55">
        <v>8</v>
      </c>
      <c r="D699" s="184">
        <v>5.28</v>
      </c>
      <c r="E699" s="184">
        <v>0.25</v>
      </c>
      <c r="F699" s="184">
        <v>3.6</v>
      </c>
      <c r="G699" s="593">
        <f>F699*E699*D699*C699</f>
        <v>38.016000000000005</v>
      </c>
      <c r="H699" s="503"/>
      <c r="I699" s="504"/>
      <c r="J699" s="504"/>
      <c r="K699" s="177"/>
      <c r="L699" s="177"/>
      <c r="M699" s="177"/>
      <c r="N699" s="504"/>
      <c r="O699" s="504"/>
      <c r="P699" s="504"/>
      <c r="Q699" s="504"/>
      <c r="R699" s="504"/>
    </row>
    <row r="700" spans="1:18" s="264" customFormat="1">
      <c r="A700" s="502"/>
      <c r="C700" s="55">
        <v>8</v>
      </c>
      <c r="D700" s="184">
        <v>7.43</v>
      </c>
      <c r="E700" s="184">
        <v>0.25</v>
      </c>
      <c r="F700" s="184">
        <v>3.6</v>
      </c>
      <c r="G700" s="593">
        <f t="shared" ref="G700:G723" si="22">F700*E700*D700*C700</f>
        <v>53.496000000000002</v>
      </c>
      <c r="H700" s="503"/>
      <c r="I700" s="504"/>
      <c r="J700" s="504"/>
      <c r="K700" s="177"/>
      <c r="L700" s="177"/>
      <c r="M700" s="177"/>
      <c r="N700" s="504"/>
      <c r="O700" s="504"/>
      <c r="P700" s="504"/>
      <c r="Q700" s="504"/>
      <c r="R700" s="504"/>
    </row>
    <row r="701" spans="1:18" s="264" customFormat="1">
      <c r="A701" s="502"/>
      <c r="C701" s="55">
        <v>4</v>
      </c>
      <c r="D701" s="184">
        <v>7.43</v>
      </c>
      <c r="E701" s="184">
        <v>0.125</v>
      </c>
      <c r="F701" s="184">
        <v>3.6</v>
      </c>
      <c r="G701" s="593">
        <f t="shared" si="22"/>
        <v>13.374000000000001</v>
      </c>
      <c r="H701" s="503"/>
      <c r="I701" s="504"/>
      <c r="J701" s="504"/>
      <c r="K701" s="177"/>
      <c r="L701" s="177"/>
      <c r="M701" s="177"/>
      <c r="N701" s="504"/>
      <c r="O701" s="504"/>
      <c r="P701" s="504"/>
      <c r="Q701" s="504"/>
      <c r="R701" s="504"/>
    </row>
    <row r="702" spans="1:18" s="264" customFormat="1">
      <c r="A702" s="502"/>
      <c r="C702" s="55">
        <v>4</v>
      </c>
      <c r="D702" s="184">
        <v>2.5550000000000002</v>
      </c>
      <c r="E702" s="184">
        <v>0.125</v>
      </c>
      <c r="F702" s="184">
        <v>3.6</v>
      </c>
      <c r="G702" s="593">
        <f t="shared" si="22"/>
        <v>4.5990000000000002</v>
      </c>
      <c r="H702" s="503"/>
      <c r="I702" s="504"/>
      <c r="J702" s="504"/>
      <c r="K702" s="177"/>
      <c r="L702" s="177"/>
      <c r="M702" s="177"/>
      <c r="N702" s="504"/>
      <c r="O702" s="504"/>
      <c r="P702" s="504"/>
      <c r="Q702" s="504"/>
      <c r="R702" s="504"/>
    </row>
    <row r="703" spans="1:18" s="264" customFormat="1">
      <c r="A703" s="502"/>
      <c r="C703" s="55">
        <v>20</v>
      </c>
      <c r="D703" s="184">
        <v>1.41</v>
      </c>
      <c r="E703" s="184">
        <v>0.125</v>
      </c>
      <c r="F703" s="184">
        <v>3.6</v>
      </c>
      <c r="G703" s="593">
        <f t="shared" si="22"/>
        <v>12.69</v>
      </c>
      <c r="H703" s="503"/>
      <c r="I703" s="504"/>
      <c r="J703" s="504"/>
      <c r="K703" s="177"/>
      <c r="L703" s="177"/>
      <c r="M703" s="177"/>
      <c r="N703" s="504"/>
      <c r="O703" s="504"/>
      <c r="P703" s="504"/>
      <c r="Q703" s="504"/>
      <c r="R703" s="504"/>
    </row>
    <row r="704" spans="1:18" s="264" customFormat="1">
      <c r="A704" s="502"/>
      <c r="C704" s="55">
        <v>8</v>
      </c>
      <c r="D704" s="184">
        <v>1.5649999999999999</v>
      </c>
      <c r="E704" s="184">
        <v>0.125</v>
      </c>
      <c r="F704" s="184">
        <v>3.6</v>
      </c>
      <c r="G704" s="593">
        <f t="shared" si="22"/>
        <v>5.6340000000000003</v>
      </c>
      <c r="H704" s="503"/>
      <c r="I704" s="504"/>
      <c r="J704" s="504"/>
      <c r="K704" s="177"/>
      <c r="L704" s="177"/>
      <c r="M704" s="177"/>
      <c r="N704" s="504"/>
      <c r="O704" s="504"/>
      <c r="P704" s="504"/>
      <c r="Q704" s="504"/>
      <c r="R704" s="504"/>
    </row>
    <row r="705" spans="1:18" s="264" customFormat="1">
      <c r="A705" s="502"/>
      <c r="C705" s="55">
        <v>4</v>
      </c>
      <c r="D705" s="184">
        <v>1.7250000000000001</v>
      </c>
      <c r="E705" s="184">
        <v>0.125</v>
      </c>
      <c r="F705" s="184">
        <v>3.6</v>
      </c>
      <c r="G705" s="593">
        <f t="shared" si="22"/>
        <v>3.1050000000000004</v>
      </c>
      <c r="H705" s="503"/>
      <c r="I705" s="504"/>
      <c r="J705" s="504"/>
      <c r="K705" s="177"/>
      <c r="L705" s="177"/>
      <c r="M705" s="177"/>
      <c r="N705" s="504"/>
      <c r="O705" s="504"/>
      <c r="P705" s="504"/>
      <c r="Q705" s="504"/>
      <c r="R705" s="504"/>
    </row>
    <row r="706" spans="1:18" s="264" customFormat="1">
      <c r="A706" s="502"/>
      <c r="C706" s="55">
        <v>2</v>
      </c>
      <c r="D706" s="184">
        <v>5.085</v>
      </c>
      <c r="E706" s="184">
        <v>0.25</v>
      </c>
      <c r="F706" s="184">
        <v>3.6</v>
      </c>
      <c r="G706" s="593">
        <f t="shared" si="22"/>
        <v>9.1530000000000005</v>
      </c>
      <c r="H706" s="503"/>
      <c r="I706" s="504"/>
      <c r="J706" s="504"/>
      <c r="K706" s="177"/>
      <c r="L706" s="177"/>
      <c r="M706" s="177"/>
      <c r="N706" s="504"/>
      <c r="O706" s="504"/>
      <c r="P706" s="504"/>
      <c r="Q706" s="504"/>
      <c r="R706" s="504"/>
    </row>
    <row r="707" spans="1:18" s="264" customFormat="1">
      <c r="A707" s="502"/>
      <c r="C707" s="55">
        <v>2</v>
      </c>
      <c r="D707" s="184">
        <v>3.9449999999999998</v>
      </c>
      <c r="E707" s="184">
        <v>0.25</v>
      </c>
      <c r="F707" s="184">
        <v>3.6</v>
      </c>
      <c r="G707" s="593">
        <f t="shared" si="22"/>
        <v>7.101</v>
      </c>
      <c r="H707" s="503"/>
      <c r="I707" s="504"/>
      <c r="J707" s="504"/>
      <c r="K707" s="177"/>
      <c r="L707" s="177"/>
      <c r="M707" s="177"/>
      <c r="N707" s="504"/>
      <c r="O707" s="504"/>
      <c r="P707" s="504"/>
      <c r="Q707" s="504"/>
      <c r="R707" s="504"/>
    </row>
    <row r="708" spans="1:18" s="264" customFormat="1">
      <c r="A708" s="502"/>
      <c r="C708" s="55">
        <v>3</v>
      </c>
      <c r="D708" s="184">
        <v>5.7450000000000001</v>
      </c>
      <c r="E708" s="184">
        <v>0.25</v>
      </c>
      <c r="F708" s="184">
        <v>3.6</v>
      </c>
      <c r="G708" s="593">
        <f t="shared" si="22"/>
        <v>15.511500000000002</v>
      </c>
      <c r="H708" s="503"/>
      <c r="I708" s="504"/>
      <c r="J708" s="504"/>
      <c r="K708" s="177"/>
      <c r="L708" s="177"/>
      <c r="M708" s="177"/>
      <c r="N708" s="504"/>
      <c r="O708" s="504"/>
      <c r="P708" s="504"/>
      <c r="Q708" s="504"/>
      <c r="R708" s="504"/>
    </row>
    <row r="709" spans="1:18" s="264" customFormat="1">
      <c r="A709" s="502"/>
      <c r="C709" s="55">
        <v>2</v>
      </c>
      <c r="D709" s="184">
        <v>27.375</v>
      </c>
      <c r="E709" s="184">
        <v>0.25</v>
      </c>
      <c r="F709" s="184">
        <v>3.6</v>
      </c>
      <c r="G709" s="593">
        <f t="shared" si="22"/>
        <v>49.274999999999999</v>
      </c>
      <c r="H709" s="503"/>
      <c r="I709" s="504"/>
      <c r="J709" s="504"/>
      <c r="K709" s="177"/>
      <c r="L709" s="177"/>
      <c r="M709" s="177"/>
      <c r="N709" s="504"/>
      <c r="O709" s="504"/>
      <c r="P709" s="504"/>
      <c r="Q709" s="504"/>
      <c r="R709" s="504"/>
    </row>
    <row r="710" spans="1:18" s="264" customFormat="1">
      <c r="A710" s="502"/>
      <c r="C710" s="55">
        <v>2</v>
      </c>
      <c r="D710" s="184">
        <v>2.0499999999999998</v>
      </c>
      <c r="E710" s="184">
        <v>0.25</v>
      </c>
      <c r="F710" s="184">
        <v>3.6</v>
      </c>
      <c r="G710" s="593">
        <f t="shared" si="22"/>
        <v>3.69</v>
      </c>
      <c r="H710" s="503"/>
      <c r="I710" s="504"/>
      <c r="J710" s="504"/>
      <c r="K710" s="177"/>
      <c r="L710" s="177"/>
      <c r="M710" s="177"/>
      <c r="N710" s="504"/>
      <c r="O710" s="504"/>
      <c r="P710" s="504"/>
      <c r="Q710" s="504"/>
      <c r="R710" s="504"/>
    </row>
    <row r="711" spans="1:18" s="264" customFormat="1">
      <c r="A711" s="502"/>
      <c r="C711" s="55">
        <v>2</v>
      </c>
      <c r="D711" s="184">
        <v>5.03</v>
      </c>
      <c r="E711" s="184">
        <v>0.25</v>
      </c>
      <c r="F711" s="184">
        <v>3.6</v>
      </c>
      <c r="G711" s="593">
        <f t="shared" si="22"/>
        <v>9.0540000000000003</v>
      </c>
      <c r="H711" s="503"/>
      <c r="I711" s="504"/>
      <c r="J711" s="504"/>
      <c r="K711" s="177"/>
      <c r="L711" s="177"/>
      <c r="M711" s="177"/>
      <c r="N711" s="504"/>
      <c r="O711" s="504"/>
      <c r="P711" s="504"/>
      <c r="Q711" s="504"/>
      <c r="R711" s="504"/>
    </row>
    <row r="712" spans="1:18" s="264" customFormat="1">
      <c r="A712" s="502"/>
      <c r="C712" s="55">
        <v>8</v>
      </c>
      <c r="D712" s="184">
        <v>10.935</v>
      </c>
      <c r="E712" s="184">
        <v>0.25</v>
      </c>
      <c r="F712" s="184">
        <v>3.6</v>
      </c>
      <c r="G712" s="593">
        <f t="shared" si="22"/>
        <v>78.731999999999999</v>
      </c>
      <c r="H712" s="503"/>
      <c r="I712" s="504"/>
      <c r="J712" s="504"/>
      <c r="K712" s="177"/>
      <c r="L712" s="177"/>
      <c r="M712" s="177"/>
      <c r="N712" s="504"/>
      <c r="O712" s="504"/>
      <c r="P712" s="504"/>
      <c r="Q712" s="504"/>
      <c r="R712" s="504"/>
    </row>
    <row r="713" spans="1:18" s="264" customFormat="1">
      <c r="A713" s="502"/>
      <c r="C713" s="55">
        <v>4</v>
      </c>
      <c r="D713" s="184">
        <v>5.53</v>
      </c>
      <c r="E713" s="184">
        <v>0.25</v>
      </c>
      <c r="F713" s="184">
        <v>3.6</v>
      </c>
      <c r="G713" s="593">
        <f t="shared" si="22"/>
        <v>19.908000000000001</v>
      </c>
      <c r="H713" s="503"/>
      <c r="I713" s="504"/>
      <c r="J713" s="504"/>
      <c r="K713" s="177"/>
      <c r="L713" s="177"/>
      <c r="M713" s="177"/>
      <c r="N713" s="504"/>
      <c r="O713" s="504"/>
      <c r="P713" s="504"/>
      <c r="Q713" s="504"/>
      <c r="R713" s="504"/>
    </row>
    <row r="714" spans="1:18" s="264" customFormat="1">
      <c r="A714" s="502"/>
      <c r="C714" s="55">
        <v>2</v>
      </c>
      <c r="D714" s="184">
        <v>5.28</v>
      </c>
      <c r="E714" s="184">
        <v>0.25</v>
      </c>
      <c r="F714" s="184">
        <v>3.6</v>
      </c>
      <c r="G714" s="593">
        <f t="shared" si="22"/>
        <v>9.5040000000000013</v>
      </c>
      <c r="H714" s="503"/>
      <c r="I714" s="504"/>
      <c r="J714" s="504"/>
      <c r="K714" s="177"/>
      <c r="L714" s="177"/>
      <c r="M714" s="177"/>
      <c r="N714" s="504"/>
      <c r="O714" s="504"/>
      <c r="P714" s="504"/>
      <c r="Q714" s="504"/>
      <c r="R714" s="504"/>
    </row>
    <row r="715" spans="1:18" s="264" customFormat="1">
      <c r="A715" s="502"/>
      <c r="C715" s="55">
        <v>6</v>
      </c>
      <c r="D715" s="184">
        <v>4.78</v>
      </c>
      <c r="E715" s="184">
        <v>0.25</v>
      </c>
      <c r="F715" s="184">
        <v>3.6</v>
      </c>
      <c r="G715" s="593">
        <f t="shared" si="22"/>
        <v>25.812000000000005</v>
      </c>
      <c r="H715" s="503"/>
      <c r="I715" s="504"/>
      <c r="J715" s="504"/>
      <c r="K715" s="177"/>
      <c r="L715" s="177"/>
      <c r="M715" s="177"/>
      <c r="N715" s="504"/>
      <c r="O715" s="504"/>
      <c r="P715" s="504"/>
      <c r="Q715" s="504"/>
      <c r="R715" s="504"/>
    </row>
    <row r="716" spans="1:18" s="264" customFormat="1">
      <c r="A716" s="502"/>
      <c r="C716" s="55">
        <v>4</v>
      </c>
      <c r="D716" s="184">
        <v>15.38</v>
      </c>
      <c r="E716" s="184">
        <v>0.25</v>
      </c>
      <c r="F716" s="184">
        <v>3.6</v>
      </c>
      <c r="G716" s="593">
        <f t="shared" si="22"/>
        <v>55.368000000000002</v>
      </c>
      <c r="H716" s="503"/>
      <c r="I716" s="504"/>
      <c r="J716" s="504"/>
      <c r="K716" s="177"/>
      <c r="L716" s="177"/>
      <c r="M716" s="177"/>
      <c r="N716" s="504"/>
      <c r="O716" s="504"/>
      <c r="P716" s="504"/>
      <c r="Q716" s="504"/>
      <c r="R716" s="504"/>
    </row>
    <row r="717" spans="1:18" s="264" customFormat="1">
      <c r="A717" s="502"/>
      <c r="C717" s="55">
        <v>1</v>
      </c>
      <c r="D717" s="184">
        <v>4.5</v>
      </c>
      <c r="E717" s="184">
        <v>0.25</v>
      </c>
      <c r="F717" s="184">
        <v>3.6</v>
      </c>
      <c r="G717" s="593">
        <f t="shared" si="22"/>
        <v>4.05</v>
      </c>
      <c r="H717" s="503"/>
      <c r="I717" s="504"/>
      <c r="J717" s="504"/>
      <c r="K717" s="177"/>
      <c r="L717" s="177"/>
      <c r="M717" s="177"/>
      <c r="N717" s="504"/>
      <c r="O717" s="504"/>
      <c r="P717" s="504"/>
      <c r="Q717" s="504"/>
      <c r="R717" s="504"/>
    </row>
    <row r="718" spans="1:18" s="264" customFormat="1">
      <c r="A718" s="502"/>
      <c r="C718" s="55">
        <v>1</v>
      </c>
      <c r="D718" s="184">
        <v>1.35</v>
      </c>
      <c r="E718" s="184">
        <v>0.125</v>
      </c>
      <c r="F718" s="184">
        <v>3.6</v>
      </c>
      <c r="G718" s="593">
        <f t="shared" si="22"/>
        <v>0.60750000000000004</v>
      </c>
      <c r="H718" s="503"/>
      <c r="I718" s="504"/>
      <c r="J718" s="504"/>
      <c r="K718" s="177"/>
      <c r="L718" s="177"/>
      <c r="M718" s="177"/>
      <c r="N718" s="504"/>
      <c r="O718" s="504"/>
      <c r="P718" s="504"/>
      <c r="Q718" s="504"/>
      <c r="R718" s="504"/>
    </row>
    <row r="719" spans="1:18" s="264" customFormat="1">
      <c r="A719" s="502"/>
      <c r="C719" s="55">
        <v>1</v>
      </c>
      <c r="D719" s="184">
        <v>2.2250000000000001</v>
      </c>
      <c r="E719" s="184">
        <v>0.125</v>
      </c>
      <c r="F719" s="184">
        <v>3.6</v>
      </c>
      <c r="G719" s="593">
        <f t="shared" si="22"/>
        <v>1.00125</v>
      </c>
      <c r="H719" s="503"/>
      <c r="I719" s="504"/>
      <c r="J719" s="504"/>
      <c r="K719" s="177"/>
      <c r="L719" s="177"/>
      <c r="M719" s="177"/>
      <c r="N719" s="504"/>
      <c r="O719" s="504"/>
      <c r="P719" s="504"/>
      <c r="Q719" s="504"/>
      <c r="R719" s="504"/>
    </row>
    <row r="720" spans="1:18" s="264" customFormat="1">
      <c r="A720" s="502"/>
      <c r="C720" s="55">
        <v>2</v>
      </c>
      <c r="D720" s="184">
        <v>1.8</v>
      </c>
      <c r="E720" s="184">
        <v>0.25</v>
      </c>
      <c r="F720" s="184">
        <v>1.2</v>
      </c>
      <c r="G720" s="593">
        <f t="shared" si="22"/>
        <v>1.08</v>
      </c>
      <c r="H720" s="503"/>
      <c r="I720" s="504"/>
      <c r="J720" s="504"/>
      <c r="K720" s="177"/>
      <c r="L720" s="177"/>
      <c r="M720" s="177"/>
      <c r="N720" s="504"/>
      <c r="O720" s="504"/>
      <c r="P720" s="504"/>
      <c r="Q720" s="504"/>
      <c r="R720" s="504"/>
    </row>
    <row r="721" spans="1:18" s="264" customFormat="1">
      <c r="A721" s="502"/>
      <c r="C721" s="55">
        <v>2</v>
      </c>
      <c r="D721" s="184">
        <v>1.1499999999999999</v>
      </c>
      <c r="E721" s="184">
        <v>0.25</v>
      </c>
      <c r="F721" s="184">
        <v>1.2</v>
      </c>
      <c r="G721" s="593">
        <f t="shared" si="22"/>
        <v>0.69</v>
      </c>
      <c r="H721" s="503"/>
      <c r="I721" s="504"/>
      <c r="J721" s="504"/>
      <c r="K721" s="177"/>
      <c r="L721" s="177"/>
      <c r="M721" s="177"/>
      <c r="N721" s="504"/>
      <c r="O721" s="504"/>
      <c r="P721" s="504"/>
      <c r="Q721" s="504"/>
      <c r="R721" s="504"/>
    </row>
    <row r="722" spans="1:18" s="264" customFormat="1">
      <c r="A722" s="502"/>
      <c r="C722" s="55">
        <v>2</v>
      </c>
      <c r="D722" s="184">
        <v>21.704999999999998</v>
      </c>
      <c r="E722" s="184">
        <v>0.25</v>
      </c>
      <c r="F722" s="184">
        <v>1.2</v>
      </c>
      <c r="G722" s="593">
        <f t="shared" si="22"/>
        <v>13.022999999999998</v>
      </c>
      <c r="H722" s="503"/>
      <c r="I722" s="504"/>
      <c r="J722" s="504"/>
      <c r="K722" s="177"/>
      <c r="L722" s="177"/>
      <c r="M722" s="177"/>
      <c r="N722" s="504"/>
      <c r="O722" s="504"/>
      <c r="P722" s="504"/>
      <c r="Q722" s="504"/>
      <c r="R722" s="504"/>
    </row>
    <row r="723" spans="1:18" s="504" customFormat="1" ht="15">
      <c r="A723" s="506"/>
      <c r="B723" s="517" t="s">
        <v>1373</v>
      </c>
      <c r="C723" s="55">
        <f>24*2</f>
        <v>48</v>
      </c>
      <c r="D723" s="184">
        <v>0.3</v>
      </c>
      <c r="E723" s="184">
        <v>0.15</v>
      </c>
      <c r="F723" s="184">
        <f>4.5*0.3</f>
        <v>1.3499999999999999</v>
      </c>
      <c r="G723" s="594">
        <f t="shared" si="22"/>
        <v>2.9159999999999995</v>
      </c>
      <c r="H723" s="507"/>
      <c r="K723" s="177"/>
      <c r="L723" s="177"/>
      <c r="M723" s="177"/>
    </row>
    <row r="724" spans="1:18" s="149" customFormat="1">
      <c r="A724" s="36"/>
      <c r="C724" s="121"/>
      <c r="D724" s="120"/>
      <c r="E724" s="121"/>
      <c r="F724" s="120"/>
      <c r="G724" s="406">
        <f>SUM(G699:G723)</f>
        <v>437.39025000000009</v>
      </c>
      <c r="H724" s="430"/>
      <c r="I724" s="164"/>
      <c r="J724" s="164"/>
      <c r="K724" s="165"/>
      <c r="L724" s="165"/>
      <c r="M724" s="165"/>
      <c r="N724" s="164"/>
      <c r="O724" s="164"/>
      <c r="P724" s="164"/>
      <c r="Q724" s="164"/>
      <c r="R724" s="164"/>
    </row>
    <row r="725" spans="1:18" s="149" customFormat="1">
      <c r="A725" s="36"/>
      <c r="E725" s="121"/>
      <c r="G725" s="498"/>
      <c r="H725" s="430"/>
      <c r="I725" s="164"/>
      <c r="J725" s="164"/>
      <c r="K725" s="165"/>
      <c r="L725" s="165"/>
      <c r="M725" s="165"/>
      <c r="N725" s="164"/>
      <c r="O725" s="164"/>
      <c r="P725" s="164"/>
      <c r="Q725" s="164"/>
      <c r="R725" s="164"/>
    </row>
    <row r="726" spans="1:18" s="149" customFormat="1" ht="15">
      <c r="A726" s="36"/>
      <c r="B726" s="149" t="s">
        <v>1228</v>
      </c>
      <c r="C726" s="121"/>
      <c r="D726" s="120"/>
      <c r="E726" s="121"/>
      <c r="F726" s="120"/>
      <c r="G726" s="558"/>
      <c r="H726" s="430"/>
      <c r="I726" s="164"/>
      <c r="J726" s="164"/>
      <c r="K726" s="165"/>
      <c r="L726" s="165"/>
      <c r="M726" s="165"/>
      <c r="N726" s="164"/>
      <c r="O726" s="164"/>
      <c r="P726" s="164"/>
      <c r="Q726" s="164"/>
      <c r="R726" s="164"/>
    </row>
    <row r="727" spans="1:18" s="149" customFormat="1">
      <c r="A727" s="36"/>
      <c r="B727" s="149" t="s">
        <v>1357</v>
      </c>
      <c r="C727" s="55">
        <v>17</v>
      </c>
      <c r="D727" s="184">
        <v>1.05</v>
      </c>
      <c r="E727" s="184">
        <v>0.25</v>
      </c>
      <c r="F727" s="184">
        <v>2.1</v>
      </c>
      <c r="G727" s="432">
        <f t="shared" ref="G727:G732" si="23">F727*E727*D727*C727</f>
        <v>9.3712499999999999</v>
      </c>
      <c r="H727" s="430"/>
      <c r="I727" s="164"/>
      <c r="J727" s="164"/>
      <c r="K727" s="165"/>
      <c r="L727" s="165"/>
      <c r="M727" s="165"/>
      <c r="N727" s="164"/>
      <c r="O727" s="164"/>
      <c r="P727" s="164"/>
      <c r="Q727" s="164"/>
      <c r="R727" s="164"/>
    </row>
    <row r="728" spans="1:18" s="149" customFormat="1">
      <c r="A728" s="36"/>
      <c r="B728" s="149" t="s">
        <v>1358</v>
      </c>
      <c r="C728" s="55">
        <v>4</v>
      </c>
      <c r="D728" s="184">
        <v>0.9</v>
      </c>
      <c r="E728" s="184">
        <v>0.25</v>
      </c>
      <c r="F728" s="184">
        <v>2.1</v>
      </c>
      <c r="G728" s="432">
        <f t="shared" si="23"/>
        <v>1.8900000000000001</v>
      </c>
      <c r="H728" s="430"/>
      <c r="I728" s="164"/>
      <c r="J728" s="164"/>
      <c r="K728" s="165"/>
      <c r="L728" s="165"/>
      <c r="M728" s="165"/>
      <c r="N728" s="164"/>
      <c r="O728" s="164"/>
      <c r="P728" s="164"/>
      <c r="Q728" s="164"/>
      <c r="R728" s="164"/>
    </row>
    <row r="729" spans="1:18" s="149" customFormat="1">
      <c r="A729" s="36"/>
      <c r="B729" s="149" t="s">
        <v>1359</v>
      </c>
      <c r="C729" s="55">
        <v>33</v>
      </c>
      <c r="D729" s="184">
        <v>0.75</v>
      </c>
      <c r="E729" s="184">
        <v>0.125</v>
      </c>
      <c r="F729" s="184">
        <v>2.1</v>
      </c>
      <c r="G729" s="432">
        <f t="shared" si="23"/>
        <v>6.4968750000000011</v>
      </c>
      <c r="H729" s="430"/>
      <c r="I729" s="164"/>
      <c r="J729" s="164"/>
      <c r="K729" s="165"/>
      <c r="L729" s="165"/>
      <c r="M729" s="165"/>
      <c r="N729" s="164"/>
      <c r="O729" s="164"/>
      <c r="P729" s="164"/>
      <c r="Q729" s="164"/>
      <c r="R729" s="164"/>
    </row>
    <row r="730" spans="1:18" s="149" customFormat="1">
      <c r="A730" s="36"/>
      <c r="B730" s="149" t="s">
        <v>1224</v>
      </c>
      <c r="C730" s="55">
        <v>40</v>
      </c>
      <c r="D730" s="184">
        <v>1.2</v>
      </c>
      <c r="E730" s="184">
        <v>0.25</v>
      </c>
      <c r="F730" s="184">
        <v>1.35</v>
      </c>
      <c r="G730" s="432">
        <f t="shared" si="23"/>
        <v>16.200000000000003</v>
      </c>
      <c r="H730" s="430"/>
      <c r="I730" s="164"/>
      <c r="J730" s="164"/>
      <c r="K730" s="165"/>
      <c r="L730" s="165"/>
      <c r="M730" s="165"/>
      <c r="N730" s="164"/>
      <c r="O730" s="164"/>
      <c r="P730" s="164"/>
      <c r="Q730" s="164"/>
      <c r="R730" s="164"/>
    </row>
    <row r="731" spans="1:18" s="149" customFormat="1">
      <c r="A731" s="36"/>
      <c r="B731" s="224" t="s">
        <v>1361</v>
      </c>
      <c r="C731" s="55">
        <v>3</v>
      </c>
      <c r="D731" s="184">
        <v>1.8</v>
      </c>
      <c r="E731" s="184">
        <v>0.25</v>
      </c>
      <c r="F731" s="184">
        <v>1.35</v>
      </c>
      <c r="G731" s="432">
        <f t="shared" si="23"/>
        <v>1.8225000000000002</v>
      </c>
      <c r="H731" s="430"/>
      <c r="I731" s="164"/>
      <c r="J731" s="164"/>
      <c r="K731" s="165"/>
      <c r="L731" s="165"/>
      <c r="M731" s="165"/>
      <c r="N731" s="164"/>
      <c r="O731" s="164"/>
      <c r="P731" s="164"/>
      <c r="Q731" s="164"/>
      <c r="R731" s="164"/>
    </row>
    <row r="732" spans="1:18" s="149" customFormat="1">
      <c r="A732" s="36"/>
      <c r="B732" s="20" t="s">
        <v>1362</v>
      </c>
      <c r="C732" s="55">
        <v>33</v>
      </c>
      <c r="D732" s="184">
        <v>0.6</v>
      </c>
      <c r="E732" s="184">
        <v>0.25</v>
      </c>
      <c r="F732" s="184">
        <v>0.6</v>
      </c>
      <c r="G732" s="500">
        <f t="shared" si="23"/>
        <v>2.9699999999999998</v>
      </c>
      <c r="H732" s="430"/>
      <c r="I732" s="164"/>
      <c r="J732" s="164"/>
      <c r="K732" s="165"/>
      <c r="L732" s="165"/>
      <c r="M732" s="165"/>
      <c r="N732" s="164"/>
      <c r="O732" s="164"/>
      <c r="P732" s="164"/>
      <c r="Q732" s="164"/>
      <c r="R732" s="164"/>
    </row>
    <row r="733" spans="1:18" s="149" customFormat="1" ht="15">
      <c r="A733" s="36"/>
      <c r="C733" s="121"/>
      <c r="D733" s="120"/>
      <c r="E733" s="121"/>
      <c r="F733" s="120"/>
      <c r="G733" s="558">
        <f>SUM(G727:G732)</f>
        <v>38.750624999999999</v>
      </c>
      <c r="H733" s="430"/>
      <c r="I733" s="164"/>
      <c r="J733" s="164"/>
      <c r="K733" s="165"/>
      <c r="L733" s="165"/>
      <c r="M733" s="165"/>
      <c r="N733" s="164"/>
      <c r="O733" s="164"/>
      <c r="P733" s="164"/>
      <c r="Q733" s="164"/>
      <c r="R733" s="164"/>
    </row>
    <row r="734" spans="1:18" s="149" customFormat="1">
      <c r="A734" s="36"/>
      <c r="E734" s="121"/>
      <c r="G734" s="498"/>
      <c r="H734" s="430"/>
      <c r="I734" s="164"/>
      <c r="J734" s="164"/>
      <c r="K734" s="165"/>
      <c r="L734" s="165"/>
      <c r="M734" s="165"/>
      <c r="N734" s="164"/>
      <c r="O734" s="164"/>
      <c r="P734" s="164"/>
      <c r="Q734" s="164"/>
      <c r="R734" s="164"/>
    </row>
    <row r="735" spans="1:18" s="149" customFormat="1">
      <c r="A735" s="36"/>
      <c r="E735" s="121"/>
      <c r="G735" s="406">
        <f>G724-G733</f>
        <v>398.63962500000008</v>
      </c>
      <c r="H735" s="430"/>
      <c r="I735" s="164"/>
      <c r="J735" s="164"/>
      <c r="K735" s="165"/>
      <c r="L735" s="165"/>
      <c r="M735" s="165"/>
      <c r="N735" s="164"/>
      <c r="O735" s="164"/>
      <c r="P735" s="164"/>
      <c r="Q735" s="164"/>
      <c r="R735" s="164"/>
    </row>
    <row r="736" spans="1:18" s="149" customFormat="1">
      <c r="A736" s="36"/>
      <c r="E736" s="121"/>
      <c r="G736" s="656">
        <f>G735*10%</f>
        <v>39.863962500000014</v>
      </c>
      <c r="H736" s="430"/>
      <c r="I736" s="164"/>
      <c r="J736" s="164"/>
      <c r="K736" s="165"/>
      <c r="L736" s="165"/>
      <c r="M736" s="165"/>
      <c r="N736" s="164"/>
      <c r="O736" s="164"/>
      <c r="P736" s="164"/>
      <c r="Q736" s="164"/>
      <c r="R736" s="164"/>
    </row>
    <row r="737" spans="1:18" s="149" customFormat="1" ht="15">
      <c r="A737" s="36"/>
      <c r="E737" s="121"/>
      <c r="G737" s="551">
        <f>G736+G735</f>
        <v>438.50358750000009</v>
      </c>
      <c r="H737" s="543" t="s">
        <v>25</v>
      </c>
      <c r="I737" s="164"/>
      <c r="J737" s="164"/>
      <c r="K737" s="165"/>
      <c r="L737" s="165"/>
      <c r="M737" s="165"/>
      <c r="N737" s="164"/>
      <c r="O737" s="164"/>
      <c r="P737" s="164"/>
      <c r="Q737" s="164"/>
      <c r="R737" s="164"/>
    </row>
    <row r="738" spans="1:18" s="149" customFormat="1" ht="15">
      <c r="A738" s="36"/>
      <c r="E738" s="121"/>
      <c r="F738" s="164"/>
      <c r="G738" s="630"/>
      <c r="H738" s="509"/>
      <c r="I738" s="164"/>
      <c r="J738" s="164"/>
      <c r="K738" s="165"/>
      <c r="L738" s="165"/>
      <c r="M738" s="165"/>
      <c r="N738" s="164"/>
      <c r="O738" s="164"/>
      <c r="P738" s="164"/>
      <c r="Q738" s="164"/>
      <c r="R738" s="164"/>
    </row>
    <row r="739" spans="1:18" s="149" customFormat="1" ht="15">
      <c r="A739" s="36"/>
      <c r="E739" s="121"/>
      <c r="G739" s="601"/>
      <c r="H739" s="543"/>
      <c r="I739" s="164"/>
      <c r="J739" s="164"/>
      <c r="K739" s="165"/>
      <c r="L739" s="165"/>
      <c r="M739" s="165"/>
      <c r="N739" s="164"/>
      <c r="O739" s="164"/>
      <c r="P739" s="164"/>
      <c r="Q739" s="164"/>
      <c r="R739" s="164"/>
    </row>
    <row r="740" spans="1:18" s="149" customFormat="1" ht="15">
      <c r="A740" s="135"/>
      <c r="B740" s="499" t="s">
        <v>1229</v>
      </c>
      <c r="C740" s="121">
        <v>1</v>
      </c>
      <c r="D740" s="121">
        <f>231.03+17.288</f>
        <v>248.31800000000001</v>
      </c>
      <c r="E740" s="121">
        <v>0.25</v>
      </c>
      <c r="F740" s="120">
        <v>0.9</v>
      </c>
      <c r="G740" s="406">
        <f>F740*E740*D740*C740</f>
        <v>55.871550000000006</v>
      </c>
      <c r="H740" s="430"/>
      <c r="I740" s="164"/>
      <c r="J740" s="164"/>
      <c r="K740" s="165"/>
      <c r="L740" s="165"/>
      <c r="M740" s="165"/>
      <c r="N740" s="164"/>
      <c r="O740" s="164"/>
      <c r="P740" s="164"/>
      <c r="Q740" s="164"/>
      <c r="R740" s="164"/>
    </row>
    <row r="741" spans="1:18" s="149" customFormat="1" ht="15">
      <c r="A741" s="36"/>
      <c r="B741" s="499" t="s">
        <v>1161</v>
      </c>
      <c r="C741" s="121">
        <v>2</v>
      </c>
      <c r="D741" s="120">
        <v>4.1950000000000003</v>
      </c>
      <c r="E741" s="121">
        <v>0.25</v>
      </c>
      <c r="F741" s="120">
        <v>2.4</v>
      </c>
      <c r="G741" s="406">
        <f>F741*E741*D741*C741</f>
        <v>5.0339999999999998</v>
      </c>
      <c r="H741" s="430"/>
      <c r="I741" s="164"/>
      <c r="J741" s="164"/>
      <c r="K741" s="165"/>
      <c r="L741" s="165"/>
      <c r="M741" s="165"/>
      <c r="N741" s="164"/>
      <c r="O741" s="164"/>
      <c r="P741" s="164"/>
      <c r="Q741" s="164"/>
      <c r="R741" s="164"/>
    </row>
    <row r="742" spans="1:18" s="149" customFormat="1">
      <c r="A742" s="36"/>
      <c r="C742" s="121">
        <v>2</v>
      </c>
      <c r="D742" s="120">
        <v>4.835</v>
      </c>
      <c r="E742" s="121">
        <v>0.25</v>
      </c>
      <c r="F742" s="120">
        <v>2.4</v>
      </c>
      <c r="G742" s="508">
        <f>F742*E742*D742*C742</f>
        <v>5.8019999999999996</v>
      </c>
      <c r="H742" s="430"/>
      <c r="I742" s="164"/>
      <c r="J742" s="164"/>
      <c r="K742" s="436"/>
      <c r="L742" s="165"/>
      <c r="M742" s="165"/>
      <c r="N742" s="164"/>
      <c r="O742" s="164"/>
      <c r="P742" s="164"/>
      <c r="Q742" s="164"/>
      <c r="R742" s="164"/>
    </row>
    <row r="743" spans="1:18" s="149" customFormat="1" ht="12" customHeight="1">
      <c r="A743" s="36"/>
      <c r="E743" s="121"/>
      <c r="G743" s="406">
        <f>SUM(G740:G742)</f>
        <v>66.707549999999998</v>
      </c>
      <c r="H743" s="430"/>
      <c r="I743" s="164"/>
      <c r="J743" s="164"/>
      <c r="K743" s="165"/>
      <c r="L743" s="165"/>
      <c r="M743" s="165"/>
      <c r="N743" s="164"/>
      <c r="O743" s="164"/>
      <c r="P743" s="164"/>
      <c r="Q743" s="164"/>
      <c r="R743" s="164"/>
    </row>
    <row r="744" spans="1:18" s="149" customFormat="1">
      <c r="A744" s="36"/>
      <c r="B744" s="20" t="s">
        <v>1230</v>
      </c>
      <c r="C744" s="121"/>
      <c r="D744" s="120"/>
      <c r="E744" s="121"/>
      <c r="F744" s="120"/>
      <c r="G744" s="540"/>
      <c r="H744" s="430"/>
      <c r="I744" s="164"/>
      <c r="J744" s="164"/>
      <c r="K744" s="165"/>
      <c r="L744" s="165"/>
      <c r="M744" s="165"/>
      <c r="N744" s="164"/>
      <c r="O744" s="164"/>
      <c r="P744" s="164"/>
      <c r="Q744" s="164"/>
      <c r="R744" s="164"/>
    </row>
    <row r="745" spans="1:18" s="149" customFormat="1">
      <c r="A745" s="36"/>
      <c r="B745" s="20" t="s">
        <v>213</v>
      </c>
      <c r="C745" s="121">
        <v>2</v>
      </c>
      <c r="D745" s="120">
        <v>0.9</v>
      </c>
      <c r="E745" s="121">
        <v>0.25</v>
      </c>
      <c r="F745" s="120">
        <v>2.1</v>
      </c>
      <c r="G745" s="540">
        <f>F745*E745*D745*C745</f>
        <v>0.94500000000000006</v>
      </c>
      <c r="H745" s="430"/>
      <c r="I745" s="164"/>
      <c r="J745" s="164"/>
      <c r="K745" s="165"/>
      <c r="L745" s="165"/>
      <c r="M745" s="165"/>
      <c r="N745" s="164"/>
      <c r="O745" s="164"/>
      <c r="P745" s="164"/>
      <c r="Q745" s="164"/>
      <c r="R745" s="164"/>
    </row>
    <row r="746" spans="1:18" s="149" customFormat="1">
      <c r="A746" s="36"/>
      <c r="B746" s="20"/>
      <c r="C746" s="165"/>
      <c r="D746" s="173"/>
      <c r="E746" s="165"/>
      <c r="F746" s="173"/>
      <c r="G746" s="540"/>
      <c r="H746" s="430"/>
      <c r="I746" s="164"/>
      <c r="J746" s="164"/>
      <c r="K746" s="165"/>
      <c r="L746" s="165"/>
      <c r="M746" s="165"/>
      <c r="N746" s="164"/>
      <c r="O746" s="164"/>
      <c r="P746" s="164"/>
      <c r="Q746" s="164"/>
      <c r="R746" s="164"/>
    </row>
    <row r="747" spans="1:18" s="149" customFormat="1">
      <c r="A747" s="36"/>
      <c r="B747" s="20"/>
      <c r="C747" s="165"/>
      <c r="D747" s="173"/>
      <c r="E747" s="165"/>
      <c r="F747" s="173"/>
      <c r="G747" s="540">
        <f>G743-G745</f>
        <v>65.762550000000005</v>
      </c>
      <c r="H747" s="430"/>
      <c r="I747" s="164"/>
      <c r="J747" s="164"/>
      <c r="K747" s="165"/>
      <c r="L747" s="165"/>
      <c r="M747" s="165"/>
      <c r="N747" s="164"/>
      <c r="O747" s="164"/>
      <c r="P747" s="164"/>
      <c r="Q747" s="164"/>
      <c r="R747" s="164"/>
    </row>
    <row r="748" spans="1:18" s="149" customFormat="1">
      <c r="A748" s="36"/>
      <c r="B748" s="20"/>
      <c r="C748" s="165"/>
      <c r="D748" s="173"/>
      <c r="E748" s="165"/>
      <c r="F748" s="173"/>
      <c r="G748" s="656">
        <f>G747*10%</f>
        <v>6.5762550000000006</v>
      </c>
      <c r="H748" s="430"/>
      <c r="I748" s="164"/>
      <c r="J748" s="164"/>
      <c r="K748" s="165"/>
      <c r="L748" s="165"/>
      <c r="M748" s="165"/>
      <c r="N748" s="164"/>
      <c r="O748" s="164"/>
      <c r="P748" s="164"/>
      <c r="Q748" s="164"/>
      <c r="R748" s="164"/>
    </row>
    <row r="749" spans="1:18" s="149" customFormat="1" ht="15">
      <c r="A749" s="36"/>
      <c r="E749" s="121"/>
      <c r="F749" s="215"/>
      <c r="G749" s="551">
        <f>G748+G747</f>
        <v>72.338805000000008</v>
      </c>
      <c r="H749" s="543" t="s">
        <v>25</v>
      </c>
      <c r="I749" s="164"/>
      <c r="J749" s="164"/>
      <c r="K749" s="165"/>
      <c r="L749" s="165"/>
      <c r="M749" s="165"/>
      <c r="N749" s="164"/>
      <c r="O749" s="164"/>
      <c r="P749" s="164"/>
      <c r="Q749" s="164"/>
      <c r="R749" s="164"/>
    </row>
    <row r="750" spans="1:18" s="149" customFormat="1">
      <c r="A750" s="36"/>
      <c r="E750" s="121"/>
      <c r="F750" s="164"/>
      <c r="G750" s="604"/>
      <c r="H750" s="527"/>
      <c r="I750" s="164"/>
      <c r="J750" s="164"/>
      <c r="K750" s="165"/>
      <c r="L750" s="165"/>
      <c r="M750" s="165"/>
      <c r="N750" s="164"/>
      <c r="O750" s="164"/>
      <c r="P750" s="164"/>
      <c r="Q750" s="164"/>
      <c r="R750" s="164"/>
    </row>
    <row r="751" spans="1:18" s="149" customFormat="1" ht="15">
      <c r="A751" s="36"/>
      <c r="E751" s="121"/>
      <c r="F751" s="164"/>
      <c r="G751" s="526"/>
      <c r="H751" s="527"/>
      <c r="I751" s="164"/>
      <c r="J751" s="164"/>
      <c r="K751" s="165"/>
      <c r="L751" s="165"/>
      <c r="M751" s="165"/>
      <c r="N751" s="164"/>
      <c r="O751" s="164"/>
      <c r="P751" s="164"/>
      <c r="Q751" s="164"/>
      <c r="R751" s="164"/>
    </row>
    <row r="752" spans="1:18" s="149" customFormat="1">
      <c r="A752" s="36"/>
      <c r="E752" s="121"/>
      <c r="F752" s="164"/>
      <c r="G752" s="554"/>
      <c r="H752" s="527"/>
      <c r="I752" s="164"/>
      <c r="J752" s="164"/>
      <c r="K752" s="165"/>
      <c r="L752" s="165"/>
      <c r="M752" s="165"/>
      <c r="N752" s="164"/>
      <c r="O752" s="164"/>
      <c r="P752" s="164"/>
      <c r="Q752" s="164"/>
      <c r="R752" s="164"/>
    </row>
    <row r="753" spans="1:18" s="149" customFormat="1">
      <c r="A753" s="36"/>
      <c r="E753" s="121"/>
      <c r="G753" s="498"/>
      <c r="H753" s="430"/>
      <c r="I753" s="164"/>
      <c r="J753" s="164"/>
      <c r="K753" s="165"/>
      <c r="L753" s="165"/>
      <c r="M753" s="165"/>
      <c r="N753" s="164"/>
      <c r="O753" s="164"/>
      <c r="P753" s="164"/>
      <c r="Q753" s="164"/>
      <c r="R753" s="164"/>
    </row>
    <row r="754" spans="1:18" s="149" customFormat="1" ht="15">
      <c r="A754" s="135"/>
      <c r="B754" s="514" t="s">
        <v>1165</v>
      </c>
      <c r="D754" s="135"/>
      <c r="E754" s="135"/>
      <c r="G754" s="515"/>
      <c r="H754" s="516"/>
      <c r="I754" s="517"/>
      <c r="J754" s="165"/>
      <c r="K754" s="165"/>
      <c r="L754" s="165"/>
      <c r="M754" s="165"/>
      <c r="N754" s="518"/>
      <c r="O754" s="505"/>
      <c r="P754" s="164"/>
      <c r="Q754" s="164"/>
      <c r="R754" s="164"/>
    </row>
    <row r="755" spans="1:18" s="149" customFormat="1">
      <c r="A755" s="135">
        <v>8</v>
      </c>
      <c r="B755" s="502" t="s">
        <v>1231</v>
      </c>
      <c r="E755" s="121"/>
      <c r="G755" s="498"/>
      <c r="H755" s="430"/>
      <c r="I755" s="164"/>
      <c r="J755" s="164"/>
      <c r="K755" s="165"/>
      <c r="L755" s="165"/>
      <c r="M755" s="165"/>
      <c r="N755" s="164"/>
      <c r="O755" s="164"/>
      <c r="P755" s="164"/>
      <c r="Q755" s="164"/>
      <c r="R755" s="164"/>
    </row>
    <row r="756" spans="1:18" s="149" customFormat="1">
      <c r="A756" s="135"/>
      <c r="B756" s="36" t="s">
        <v>1051</v>
      </c>
      <c r="C756" s="121"/>
      <c r="D756" s="121"/>
      <c r="E756" s="121"/>
      <c r="F756" s="121"/>
      <c r="H756" s="430"/>
      <c r="I756" s="164"/>
      <c r="J756" s="164"/>
      <c r="K756" s="165"/>
      <c r="L756" s="165"/>
      <c r="M756" s="165"/>
      <c r="N756" s="164"/>
      <c r="O756" s="164"/>
      <c r="P756" s="164"/>
      <c r="Q756" s="164"/>
      <c r="R756" s="164"/>
    </row>
    <row r="757" spans="1:18" s="149" customFormat="1">
      <c r="A757" s="135"/>
      <c r="B757" s="149" t="s">
        <v>1371</v>
      </c>
      <c r="C757" s="121">
        <v>8</v>
      </c>
      <c r="D757" s="121">
        <v>5.14</v>
      </c>
      <c r="E757" s="121"/>
      <c r="F757" s="120">
        <v>2.1</v>
      </c>
      <c r="G757" s="164">
        <f t="shared" ref="G757:G763" si="24">F757*D757*C757</f>
        <v>86.352000000000004</v>
      </c>
      <c r="H757" s="430"/>
      <c r="I757" s="164"/>
      <c r="J757" s="164"/>
      <c r="K757" s="165"/>
      <c r="L757" s="165"/>
      <c r="M757" s="165"/>
      <c r="N757" s="164"/>
      <c r="O757" s="164"/>
      <c r="P757" s="164"/>
      <c r="Q757" s="164"/>
      <c r="R757" s="164"/>
    </row>
    <row r="758" spans="1:18" s="149" customFormat="1">
      <c r="A758" s="135"/>
      <c r="C758" s="121">
        <v>16</v>
      </c>
      <c r="D758" s="121">
        <v>4.9800000000000004</v>
      </c>
      <c r="E758" s="121"/>
      <c r="F758" s="120">
        <v>2.1</v>
      </c>
      <c r="G758" s="164">
        <f t="shared" si="24"/>
        <v>167.32800000000003</v>
      </c>
      <c r="H758" s="430"/>
      <c r="I758" s="164"/>
      <c r="J758" s="164"/>
      <c r="K758" s="165"/>
      <c r="L758" s="165"/>
      <c r="M758" s="165"/>
      <c r="N758" s="164"/>
      <c r="O758" s="164"/>
      <c r="P758" s="164"/>
      <c r="Q758" s="164"/>
      <c r="R758" s="164"/>
    </row>
    <row r="759" spans="1:18" s="149" customFormat="1">
      <c r="A759" s="135"/>
      <c r="C759" s="121">
        <v>4</v>
      </c>
      <c r="D759" s="120">
        <v>5.44</v>
      </c>
      <c r="E759" s="121"/>
      <c r="F759" s="120">
        <v>2.1</v>
      </c>
      <c r="G759" s="432">
        <f t="shared" si="24"/>
        <v>45.696000000000005</v>
      </c>
      <c r="H759" s="430"/>
      <c r="I759" s="164"/>
      <c r="J759" s="164"/>
      <c r="K759" s="165"/>
      <c r="L759" s="165"/>
      <c r="M759" s="165"/>
      <c r="N759" s="164"/>
      <c r="O759" s="164"/>
      <c r="P759" s="164"/>
      <c r="Q759" s="164"/>
      <c r="R759" s="164"/>
    </row>
    <row r="760" spans="1:18" s="149" customFormat="1">
      <c r="A760" s="135"/>
      <c r="B760" s="20"/>
      <c r="C760" s="121">
        <v>4</v>
      </c>
      <c r="D760" s="120">
        <v>5.29</v>
      </c>
      <c r="E760" s="121"/>
      <c r="F760" s="120">
        <v>2.1</v>
      </c>
      <c r="G760" s="432">
        <f t="shared" si="24"/>
        <v>44.436</v>
      </c>
      <c r="H760" s="430"/>
      <c r="I760" s="164"/>
      <c r="J760" s="164"/>
      <c r="K760" s="165"/>
      <c r="L760" s="165"/>
      <c r="M760" s="165"/>
      <c r="N760" s="164"/>
      <c r="O760" s="164"/>
      <c r="P760" s="164"/>
      <c r="Q760" s="164"/>
      <c r="R760" s="164"/>
    </row>
    <row r="761" spans="1:18" s="149" customFormat="1">
      <c r="A761" s="135"/>
      <c r="C761" s="121">
        <v>4</v>
      </c>
      <c r="D761" s="120">
        <v>24.74</v>
      </c>
      <c r="E761" s="121"/>
      <c r="F761" s="120">
        <v>2.1</v>
      </c>
      <c r="G761" s="164">
        <f t="shared" si="24"/>
        <v>207.816</v>
      </c>
      <c r="H761" s="430"/>
      <c r="I761" s="164"/>
      <c r="J761" s="164"/>
      <c r="K761" s="165"/>
      <c r="L761" s="165"/>
      <c r="M761" s="165"/>
      <c r="N761" s="164"/>
      <c r="O761" s="164"/>
      <c r="P761" s="164"/>
      <c r="Q761" s="164"/>
      <c r="R761" s="164"/>
    </row>
    <row r="762" spans="1:18" s="149" customFormat="1">
      <c r="A762" s="135"/>
      <c r="C762" s="121">
        <v>1</v>
      </c>
      <c r="D762" s="120">
        <v>6.9</v>
      </c>
      <c r="E762" s="121"/>
      <c r="F762" s="120">
        <v>2.1</v>
      </c>
      <c r="G762" s="164">
        <f t="shared" si="24"/>
        <v>14.490000000000002</v>
      </c>
      <c r="H762" s="430"/>
      <c r="I762" s="164"/>
      <c r="J762" s="164"/>
      <c r="K762" s="165"/>
      <c r="L762" s="165"/>
      <c r="M762" s="165"/>
      <c r="N762" s="164"/>
      <c r="O762" s="164"/>
      <c r="P762" s="164"/>
      <c r="Q762" s="164"/>
      <c r="R762" s="164"/>
    </row>
    <row r="763" spans="1:18" s="149" customFormat="1">
      <c r="A763" s="135"/>
      <c r="B763" s="20" t="s">
        <v>1326</v>
      </c>
      <c r="C763" s="579">
        <v>1</v>
      </c>
      <c r="D763" s="120">
        <v>10.65</v>
      </c>
      <c r="E763" s="121"/>
      <c r="F763" s="120">
        <v>2.1</v>
      </c>
      <c r="G763" s="432">
        <f t="shared" si="24"/>
        <v>22.365000000000002</v>
      </c>
      <c r="H763" s="430"/>
      <c r="I763" s="164"/>
      <c r="J763" s="164"/>
      <c r="K763" s="165"/>
      <c r="L763" s="165"/>
      <c r="M763" s="165"/>
      <c r="N763" s="164"/>
      <c r="O763" s="164"/>
      <c r="P763" s="164"/>
      <c r="Q763" s="164"/>
      <c r="R763" s="164"/>
    </row>
    <row r="764" spans="1:18" s="149" customFormat="1">
      <c r="A764" s="135"/>
      <c r="C764" s="579">
        <v>1</v>
      </c>
      <c r="D764" s="120">
        <v>5.78</v>
      </c>
      <c r="E764" s="121"/>
      <c r="F764" s="120">
        <v>2.1</v>
      </c>
      <c r="G764" s="500">
        <f>F764*D764*C764</f>
        <v>12.138000000000002</v>
      </c>
      <c r="H764" s="430"/>
      <c r="I764" s="164"/>
      <c r="J764" s="164"/>
      <c r="K764" s="165"/>
      <c r="L764" s="165"/>
      <c r="M764" s="165"/>
      <c r="N764" s="164"/>
      <c r="O764" s="164"/>
      <c r="P764" s="164"/>
      <c r="Q764" s="164"/>
      <c r="R764" s="164"/>
    </row>
    <row r="765" spans="1:18" s="149" customFormat="1">
      <c r="A765" s="135"/>
      <c r="C765" s="121"/>
      <c r="D765" s="121"/>
      <c r="E765" s="121"/>
      <c r="F765" s="120"/>
      <c r="G765" s="149">
        <f>SUM(G757:G764)</f>
        <v>600.62100000000009</v>
      </c>
      <c r="H765" s="430"/>
      <c r="I765" s="164"/>
      <c r="J765" s="164"/>
      <c r="L765" s="121"/>
      <c r="M765" s="173"/>
      <c r="N765" s="121"/>
      <c r="O765" s="120"/>
      <c r="P765" s="432"/>
      <c r="Q765" s="166"/>
      <c r="R765" s="164"/>
    </row>
    <row r="766" spans="1:18" s="149" customFormat="1">
      <c r="A766" s="135"/>
      <c r="C766" s="121"/>
      <c r="D766" s="121"/>
      <c r="E766" s="121"/>
      <c r="F766" s="120"/>
      <c r="H766" s="430"/>
      <c r="I766" s="164"/>
      <c r="J766" s="164"/>
      <c r="L766" s="121"/>
      <c r="M766" s="173"/>
      <c r="N766" s="121"/>
      <c r="O766" s="120"/>
      <c r="P766" s="432"/>
      <c r="Q766" s="166"/>
      <c r="R766" s="164"/>
    </row>
    <row r="767" spans="1:18" s="149" customFormat="1">
      <c r="A767" s="135"/>
      <c r="B767" s="149" t="s">
        <v>1021</v>
      </c>
      <c r="C767" s="121"/>
      <c r="D767" s="121"/>
      <c r="E767" s="121"/>
      <c r="F767" s="120"/>
      <c r="H767" s="430"/>
      <c r="I767" s="164"/>
      <c r="J767" s="164"/>
      <c r="L767" s="121"/>
      <c r="M767" s="120"/>
      <c r="N767" s="121"/>
      <c r="O767" s="120"/>
      <c r="P767" s="432"/>
      <c r="Q767" s="166"/>
      <c r="R767" s="164"/>
    </row>
    <row r="768" spans="1:18" s="149" customFormat="1">
      <c r="A768" s="135"/>
      <c r="B768" s="149" t="s">
        <v>1223</v>
      </c>
      <c r="C768" s="121">
        <v>33</v>
      </c>
      <c r="D768" s="173">
        <f>2.5*0.3</f>
        <v>0.75</v>
      </c>
      <c r="E768" s="121"/>
      <c r="F768" s="120">
        <v>7</v>
      </c>
      <c r="G768" s="432">
        <f>F768*D768*C768</f>
        <v>173.25</v>
      </c>
      <c r="H768" s="430"/>
      <c r="I768" s="164"/>
      <c r="J768" s="164"/>
      <c r="L768" s="121"/>
      <c r="M768" s="121"/>
      <c r="N768" s="121"/>
      <c r="O768" s="120"/>
      <c r="P768" s="500"/>
      <c r="Q768" s="166"/>
      <c r="R768" s="164"/>
    </row>
    <row r="769" spans="1:18" s="149" customFormat="1">
      <c r="A769" s="135"/>
      <c r="C769" s="121">
        <v>4</v>
      </c>
      <c r="D769" s="120">
        <f>3.5*0.3</f>
        <v>1.05</v>
      </c>
      <c r="E769" s="121"/>
      <c r="F769" s="120">
        <v>7</v>
      </c>
      <c r="G769" s="432">
        <f>F769*D769*C769</f>
        <v>29.400000000000002</v>
      </c>
      <c r="H769" s="430"/>
      <c r="I769" s="164"/>
      <c r="J769" s="164"/>
      <c r="L769" s="121"/>
      <c r="M769" s="121"/>
      <c r="N769" s="121"/>
      <c r="O769" s="120"/>
      <c r="P769" s="402"/>
      <c r="Q769" s="430"/>
      <c r="R769" s="164"/>
    </row>
    <row r="770" spans="1:18" s="149" customFormat="1">
      <c r="A770" s="135"/>
      <c r="C770" s="121">
        <v>1</v>
      </c>
      <c r="D770" s="120">
        <v>0.9</v>
      </c>
      <c r="E770" s="121"/>
      <c r="F770" s="120">
        <v>7</v>
      </c>
      <c r="G770" s="432">
        <f>F770*D770*C770</f>
        <v>6.3</v>
      </c>
      <c r="H770" s="430"/>
      <c r="I770" s="164"/>
      <c r="J770" s="164"/>
      <c r="L770" s="121"/>
      <c r="M770" s="121"/>
      <c r="N770" s="121"/>
      <c r="O770" s="120"/>
      <c r="P770" s="402"/>
      <c r="Q770" s="430"/>
      <c r="R770" s="164"/>
    </row>
    <row r="771" spans="1:18" s="149" customFormat="1">
      <c r="A771" s="135"/>
      <c r="B771" s="20" t="s">
        <v>648</v>
      </c>
      <c r="C771" s="121">
        <v>33</v>
      </c>
      <c r="D771" s="120">
        <v>0.6</v>
      </c>
      <c r="E771" s="121"/>
      <c r="F771" s="120">
        <v>2</v>
      </c>
      <c r="G771" s="500">
        <f>F771*D771*C771</f>
        <v>39.6</v>
      </c>
      <c r="H771" s="430"/>
      <c r="I771" s="164"/>
      <c r="J771" s="164"/>
      <c r="K771" s="165"/>
      <c r="L771" s="165"/>
      <c r="M771" s="165"/>
      <c r="N771" s="164"/>
      <c r="O771" s="164"/>
      <c r="P771" s="164"/>
      <c r="Q771" s="164"/>
      <c r="R771" s="164"/>
    </row>
    <row r="772" spans="1:18" s="149" customFormat="1">
      <c r="A772" s="135"/>
      <c r="C772" s="121"/>
      <c r="D772" s="121"/>
      <c r="E772" s="121"/>
      <c r="F772" s="120"/>
      <c r="G772" s="402">
        <f>SUM(G768:G771)</f>
        <v>248.55</v>
      </c>
      <c r="H772" s="430"/>
      <c r="I772" s="164"/>
      <c r="J772" s="164"/>
      <c r="K772" s="165"/>
      <c r="L772" s="165"/>
      <c r="M772" s="165"/>
      <c r="N772" s="164"/>
      <c r="O772" s="164"/>
      <c r="P772" s="164"/>
      <c r="Q772" s="164"/>
      <c r="R772" s="164"/>
    </row>
    <row r="773" spans="1:18" s="149" customFormat="1" ht="15">
      <c r="A773" s="135"/>
      <c r="B773" s="638"/>
      <c r="C773" s="121"/>
      <c r="D773" s="121"/>
      <c r="E773" s="121"/>
      <c r="F773" s="121"/>
      <c r="G773" s="639">
        <f>G772/2</f>
        <v>124.27500000000001</v>
      </c>
      <c r="H773" s="430"/>
      <c r="I773" s="164"/>
      <c r="J773" s="164"/>
      <c r="K773" s="165"/>
      <c r="L773" s="165"/>
      <c r="M773" s="165"/>
      <c r="N773" s="164"/>
      <c r="O773" s="164"/>
      <c r="P773" s="164"/>
      <c r="Q773" s="164"/>
      <c r="R773" s="164"/>
    </row>
    <row r="774" spans="1:18" s="149" customFormat="1">
      <c r="A774" s="135"/>
      <c r="E774" s="121"/>
      <c r="G774" s="413"/>
      <c r="H774" s="433"/>
      <c r="I774" s="164"/>
      <c r="J774" s="164"/>
      <c r="K774" s="165"/>
      <c r="L774" s="165"/>
      <c r="M774" s="165"/>
      <c r="N774" s="164"/>
      <c r="O774" s="164"/>
      <c r="P774" s="164"/>
      <c r="Q774" s="164"/>
      <c r="R774" s="164"/>
    </row>
    <row r="775" spans="1:18" s="149" customFormat="1">
      <c r="A775" s="135"/>
      <c r="E775" s="121"/>
      <c r="G775" s="413">
        <f>G765-G773</f>
        <v>476.34600000000012</v>
      </c>
      <c r="H775" s="433"/>
      <c r="I775" s="164"/>
      <c r="J775" s="164"/>
      <c r="K775" s="165"/>
      <c r="L775" s="165"/>
      <c r="M775" s="165"/>
      <c r="N775" s="164"/>
      <c r="O775" s="164"/>
      <c r="P775" s="164"/>
      <c r="Q775" s="164"/>
      <c r="R775" s="164"/>
    </row>
    <row r="776" spans="1:18" s="149" customFormat="1">
      <c r="A776" s="135"/>
      <c r="E776" s="121"/>
      <c r="G776" s="656">
        <f>G775*10%</f>
        <v>47.634600000000013</v>
      </c>
      <c r="H776" s="433"/>
      <c r="I776" s="164"/>
      <c r="J776" s="164"/>
      <c r="K776" s="165"/>
      <c r="L776" s="165"/>
      <c r="M776" s="165"/>
      <c r="N776" s="164"/>
      <c r="O776" s="164"/>
      <c r="P776" s="164"/>
      <c r="Q776" s="164"/>
      <c r="R776" s="164"/>
    </row>
    <row r="777" spans="1:18" s="149" customFormat="1">
      <c r="A777" s="135"/>
      <c r="E777" s="121"/>
      <c r="G777" s="551">
        <f>G776+G775</f>
        <v>523.98060000000009</v>
      </c>
      <c r="H777" s="527" t="s">
        <v>32</v>
      </c>
      <c r="I777" s="164"/>
      <c r="J777" s="164"/>
      <c r="K777" s="165"/>
      <c r="L777" s="165"/>
      <c r="M777" s="165"/>
      <c r="N777" s="164"/>
      <c r="O777" s="164"/>
      <c r="P777" s="164"/>
      <c r="Q777" s="164"/>
      <c r="R777" s="164"/>
    </row>
    <row r="778" spans="1:18" s="149" customFormat="1" ht="15">
      <c r="A778" s="135"/>
      <c r="E778" s="121"/>
      <c r="G778" s="526"/>
      <c r="H778" s="527"/>
      <c r="I778" s="164"/>
      <c r="J778" s="164"/>
      <c r="K778" s="165"/>
      <c r="L778" s="165"/>
      <c r="M778" s="165"/>
      <c r="N778" s="164"/>
      <c r="O778" s="164"/>
      <c r="P778" s="164"/>
      <c r="Q778" s="164"/>
      <c r="R778" s="164"/>
    </row>
    <row r="779" spans="1:18" s="149" customFormat="1" ht="15">
      <c r="A779" s="135"/>
      <c r="B779" s="36" t="s">
        <v>1214</v>
      </c>
      <c r="C779" s="121"/>
      <c r="D779" s="222"/>
      <c r="E779" s="222"/>
      <c r="F779" s="121"/>
      <c r="G779" s="176"/>
      <c r="H779" s="430"/>
      <c r="I779" s="164"/>
      <c r="J779" s="165"/>
      <c r="K779" s="1251"/>
      <c r="L779" s="1251"/>
      <c r="M779" s="165"/>
      <c r="N779" s="522"/>
      <c r="O779" s="523"/>
      <c r="P779" s="164"/>
      <c r="Q779" s="164"/>
      <c r="R779" s="164"/>
    </row>
    <row r="780" spans="1:18" s="149" customFormat="1" ht="15">
      <c r="A780" s="135"/>
      <c r="B780" s="149" t="s">
        <v>1371</v>
      </c>
      <c r="C780" s="121">
        <v>8</v>
      </c>
      <c r="D780" s="121">
        <v>5.14</v>
      </c>
      <c r="E780" s="121"/>
      <c r="F780" s="120">
        <v>2.1</v>
      </c>
      <c r="G780" s="164">
        <f t="shared" ref="G780:G785" si="25">F780*D780*C780</f>
        <v>86.352000000000004</v>
      </c>
      <c r="H780" s="430"/>
      <c r="I780" s="164"/>
      <c r="J780" s="165"/>
      <c r="K780" s="165"/>
      <c r="L780" s="165"/>
      <c r="M780" s="165"/>
      <c r="N780" s="522"/>
      <c r="O780" s="523"/>
      <c r="P780" s="164"/>
      <c r="Q780" s="164"/>
      <c r="R780" s="164"/>
    </row>
    <row r="781" spans="1:18" s="149" customFormat="1" ht="15">
      <c r="A781" s="135"/>
      <c r="C781" s="121">
        <v>16</v>
      </c>
      <c r="D781" s="121">
        <v>4.9800000000000004</v>
      </c>
      <c r="E781" s="121"/>
      <c r="F781" s="120">
        <v>2.1</v>
      </c>
      <c r="G781" s="164">
        <f t="shared" si="25"/>
        <v>167.32800000000003</v>
      </c>
      <c r="H781" s="430"/>
      <c r="I781" s="164"/>
      <c r="J781" s="165"/>
      <c r="K781" s="165"/>
      <c r="L781" s="165"/>
      <c r="M781" s="165"/>
      <c r="N781" s="522"/>
      <c r="O781" s="523"/>
      <c r="P781" s="164"/>
      <c r="Q781" s="164"/>
      <c r="R781" s="164"/>
    </row>
    <row r="782" spans="1:18" s="149" customFormat="1" ht="15">
      <c r="A782" s="135"/>
      <c r="C782" s="121">
        <v>4</v>
      </c>
      <c r="D782" s="120">
        <v>5.44</v>
      </c>
      <c r="E782" s="121"/>
      <c r="F782" s="120">
        <v>2.1</v>
      </c>
      <c r="G782" s="164">
        <f t="shared" si="25"/>
        <v>45.696000000000005</v>
      </c>
      <c r="H782" s="430"/>
      <c r="I782" s="164"/>
      <c r="J782" s="165"/>
      <c r="K782" s="165"/>
      <c r="L782" s="165"/>
      <c r="M782" s="165"/>
      <c r="N782" s="522"/>
      <c r="O782" s="523"/>
      <c r="P782" s="164"/>
      <c r="Q782" s="164"/>
      <c r="R782" s="164"/>
    </row>
    <row r="783" spans="1:18" s="149" customFormat="1" ht="15">
      <c r="A783" s="135"/>
      <c r="B783" s="20"/>
      <c r="C783" s="121">
        <v>4</v>
      </c>
      <c r="D783" s="120">
        <v>5.29</v>
      </c>
      <c r="E783" s="121"/>
      <c r="F783" s="120">
        <v>2.1</v>
      </c>
      <c r="G783" s="164">
        <f t="shared" si="25"/>
        <v>44.436</v>
      </c>
      <c r="H783" s="430"/>
      <c r="I783" s="164"/>
      <c r="J783" s="165"/>
      <c r="K783" s="165"/>
      <c r="L783" s="165"/>
      <c r="M783" s="165"/>
      <c r="N783" s="522"/>
      <c r="O783" s="523"/>
      <c r="P783" s="164"/>
      <c r="Q783" s="164"/>
      <c r="R783" s="164"/>
    </row>
    <row r="784" spans="1:18" s="149" customFormat="1" ht="15">
      <c r="A784" s="135"/>
      <c r="C784" s="121">
        <v>4</v>
      </c>
      <c r="D784" s="120">
        <v>24.74</v>
      </c>
      <c r="E784" s="121"/>
      <c r="F784" s="120">
        <v>2.1</v>
      </c>
      <c r="G784" s="432">
        <f t="shared" si="25"/>
        <v>207.816</v>
      </c>
      <c r="H784" s="430"/>
      <c r="I784" s="164"/>
      <c r="J784" s="165"/>
      <c r="K784" s="165"/>
      <c r="L784" s="165"/>
      <c r="M784" s="165"/>
      <c r="N784" s="522"/>
      <c r="O784" s="523"/>
      <c r="P784" s="164"/>
      <c r="Q784" s="164"/>
      <c r="R784" s="164"/>
    </row>
    <row r="785" spans="1:18" s="164" customFormat="1" ht="15">
      <c r="A785" s="249"/>
      <c r="C785" s="165">
        <v>1</v>
      </c>
      <c r="D785" s="173">
        <v>6.9</v>
      </c>
      <c r="E785" s="165"/>
      <c r="F785" s="173">
        <v>2.1</v>
      </c>
      <c r="G785" s="500">
        <f t="shared" si="25"/>
        <v>14.490000000000002</v>
      </c>
      <c r="H785" s="166"/>
      <c r="J785" s="165"/>
      <c r="K785" s="165"/>
      <c r="L785" s="165"/>
      <c r="M785" s="165"/>
      <c r="N785" s="522"/>
      <c r="O785" s="523"/>
    </row>
    <row r="786" spans="1:18" s="149" customFormat="1">
      <c r="A786" s="135"/>
      <c r="C786" s="579"/>
      <c r="D786" s="120"/>
      <c r="E786" s="121"/>
      <c r="F786" s="120"/>
      <c r="G786" s="164">
        <f>SUM(G780:G785)</f>
        <v>566.11800000000005</v>
      </c>
      <c r="H786" s="430"/>
      <c r="I786" s="164"/>
      <c r="J786" s="165"/>
      <c r="K786" s="165"/>
      <c r="L786" s="165"/>
      <c r="M786" s="165"/>
      <c r="N786" s="176"/>
      <c r="O786" s="164"/>
      <c r="P786" s="164"/>
      <c r="Q786" s="164"/>
      <c r="R786" s="164"/>
    </row>
    <row r="787" spans="1:18" s="149" customFormat="1">
      <c r="A787" s="135"/>
      <c r="C787" s="121"/>
      <c r="D787" s="121"/>
      <c r="E787" s="121"/>
      <c r="F787" s="120"/>
      <c r="G787" s="164"/>
      <c r="H787" s="430"/>
      <c r="I787" s="164"/>
      <c r="J787" s="165"/>
      <c r="K787" s="165"/>
      <c r="L787" s="165"/>
      <c r="M787" s="165"/>
      <c r="N787" s="176"/>
      <c r="O787" s="164"/>
      <c r="P787" s="164"/>
      <c r="Q787" s="164"/>
      <c r="R787" s="164"/>
    </row>
    <row r="788" spans="1:18" s="149" customFormat="1">
      <c r="A788" s="135"/>
      <c r="B788" s="149" t="s">
        <v>1021</v>
      </c>
      <c r="C788" s="121"/>
      <c r="D788" s="121"/>
      <c r="E788" s="121"/>
      <c r="F788" s="120"/>
      <c r="H788" s="430"/>
      <c r="I788" s="164"/>
      <c r="J788" s="165"/>
      <c r="K788" s="165"/>
      <c r="L788" s="165"/>
      <c r="M788" s="165"/>
      <c r="N788" s="176"/>
      <c r="O788" s="164"/>
      <c r="P788" s="164"/>
      <c r="Q788" s="164"/>
      <c r="R788" s="164"/>
    </row>
    <row r="789" spans="1:18" s="149" customFormat="1">
      <c r="A789" s="135"/>
      <c r="B789" s="149" t="s">
        <v>1223</v>
      </c>
      <c r="C789" s="121">
        <v>33</v>
      </c>
      <c r="D789" s="173">
        <f>2.5*0.3</f>
        <v>0.75</v>
      </c>
      <c r="E789" s="121"/>
      <c r="F789" s="120">
        <v>2.1</v>
      </c>
      <c r="G789" s="432">
        <f>F789*D789*C789</f>
        <v>51.975000000000009</v>
      </c>
      <c r="H789" s="430"/>
      <c r="I789" s="164"/>
      <c r="J789" s="165"/>
      <c r="K789" s="165"/>
      <c r="L789" s="165"/>
      <c r="M789" s="165"/>
      <c r="N789" s="176"/>
      <c r="O789" s="164"/>
      <c r="P789" s="164"/>
      <c r="Q789" s="164"/>
      <c r="R789" s="164"/>
    </row>
    <row r="790" spans="1:18" s="149" customFormat="1">
      <c r="A790" s="135"/>
      <c r="C790" s="121">
        <v>4</v>
      </c>
      <c r="D790" s="120">
        <f>3.5*0.3</f>
        <v>1.05</v>
      </c>
      <c r="E790" s="121"/>
      <c r="F790" s="120">
        <v>2.1</v>
      </c>
      <c r="G790" s="432">
        <f>F790*D790*C790</f>
        <v>8.82</v>
      </c>
      <c r="H790" s="430"/>
      <c r="I790" s="164"/>
      <c r="J790" s="165"/>
      <c r="K790" s="165"/>
      <c r="L790" s="165"/>
      <c r="M790" s="165"/>
      <c r="N790" s="176"/>
      <c r="O790" s="164"/>
      <c r="P790" s="164"/>
      <c r="Q790" s="164"/>
      <c r="R790" s="164"/>
    </row>
    <row r="791" spans="1:18" s="149" customFormat="1">
      <c r="A791" s="135"/>
      <c r="B791" s="20" t="s">
        <v>648</v>
      </c>
      <c r="C791" s="121">
        <v>33</v>
      </c>
      <c r="D791" s="120">
        <f>2*0.3</f>
        <v>0.6</v>
      </c>
      <c r="E791" s="121"/>
      <c r="F791" s="120">
        <v>0.6</v>
      </c>
      <c r="G791" s="500">
        <f>F791*D791*C791</f>
        <v>11.879999999999999</v>
      </c>
      <c r="H791" s="430"/>
      <c r="I791" s="164"/>
      <c r="J791" s="165"/>
      <c r="K791" s="165"/>
      <c r="L791" s="165"/>
      <c r="M791" s="165"/>
      <c r="N791" s="176"/>
      <c r="O791" s="164"/>
      <c r="P791" s="164"/>
      <c r="Q791" s="164"/>
      <c r="R791" s="164"/>
    </row>
    <row r="792" spans="1:18" s="149" customFormat="1">
      <c r="A792" s="135"/>
      <c r="C792" s="121"/>
      <c r="D792" s="121"/>
      <c r="E792" s="121"/>
      <c r="F792" s="120"/>
      <c r="G792" s="402">
        <f>SUM(G789:G791)</f>
        <v>72.675000000000011</v>
      </c>
      <c r="H792" s="430"/>
      <c r="I792" s="164"/>
      <c r="J792" s="165"/>
      <c r="K792" s="165"/>
      <c r="L792" s="165"/>
      <c r="M792" s="165"/>
      <c r="N792" s="176"/>
      <c r="O792" s="164"/>
      <c r="P792" s="164"/>
      <c r="Q792" s="164"/>
      <c r="R792" s="164"/>
    </row>
    <row r="793" spans="1:18" s="149" customFormat="1">
      <c r="A793" s="135"/>
      <c r="C793" s="121"/>
      <c r="D793" s="222"/>
      <c r="E793" s="222"/>
      <c r="F793" s="121"/>
      <c r="G793" s="640">
        <f>G792/2</f>
        <v>36.337500000000006</v>
      </c>
      <c r="H793" s="430"/>
      <c r="I793" s="164"/>
      <c r="J793" s="165"/>
      <c r="K793" s="165"/>
      <c r="L793" s="165"/>
      <c r="M793" s="165"/>
      <c r="N793" s="176"/>
      <c r="O793" s="164"/>
      <c r="P793" s="164"/>
      <c r="Q793" s="164"/>
      <c r="R793" s="164"/>
    </row>
    <row r="794" spans="1:18" s="149" customFormat="1">
      <c r="A794" s="135"/>
      <c r="E794" s="165"/>
      <c r="F794" s="164"/>
      <c r="G794" s="413"/>
      <c r="H794" s="433"/>
      <c r="I794" s="164"/>
      <c r="J794" s="165"/>
      <c r="K794" s="1251"/>
      <c r="L794" s="1251"/>
      <c r="M794" s="165"/>
      <c r="N794" s="176"/>
      <c r="O794" s="164"/>
      <c r="P794" s="164"/>
      <c r="Q794" s="164"/>
      <c r="R794" s="164"/>
    </row>
    <row r="795" spans="1:18" s="149" customFormat="1">
      <c r="A795" s="135"/>
      <c r="E795" s="165"/>
      <c r="F795" s="164"/>
      <c r="G795" s="413">
        <f>G786-G793</f>
        <v>529.78050000000007</v>
      </c>
      <c r="H795" s="433"/>
      <c r="I795" s="164"/>
      <c r="J795" s="165"/>
      <c r="K795" s="165"/>
      <c r="L795" s="165"/>
      <c r="M795" s="165"/>
      <c r="N795" s="176"/>
      <c r="O795" s="164"/>
      <c r="P795" s="164"/>
      <c r="Q795" s="164"/>
      <c r="R795" s="164"/>
    </row>
    <row r="796" spans="1:18" s="149" customFormat="1">
      <c r="A796" s="135"/>
      <c r="E796" s="165"/>
      <c r="F796" s="164"/>
      <c r="G796" s="656">
        <f>G795*10%</f>
        <v>52.97805000000001</v>
      </c>
      <c r="H796" s="433"/>
      <c r="I796" s="164"/>
      <c r="J796" s="165"/>
      <c r="K796" s="165"/>
      <c r="L796" s="165"/>
      <c r="M796" s="165"/>
      <c r="N796" s="176"/>
      <c r="O796" s="164"/>
      <c r="P796" s="164"/>
      <c r="Q796" s="164"/>
      <c r="R796" s="164"/>
    </row>
    <row r="797" spans="1:18" s="149" customFormat="1">
      <c r="A797" s="135"/>
      <c r="E797" s="165"/>
      <c r="F797" s="164"/>
      <c r="G797" s="551">
        <f>G796+G795</f>
        <v>582.75855000000013</v>
      </c>
      <c r="H797" s="516" t="s">
        <v>32</v>
      </c>
      <c r="I797" s="164"/>
      <c r="J797" s="165"/>
      <c r="K797" s="1251"/>
      <c r="L797" s="1251"/>
      <c r="M797" s="165"/>
      <c r="N797" s="176"/>
      <c r="O797" s="164"/>
      <c r="P797" s="164"/>
      <c r="Q797" s="164"/>
      <c r="R797" s="164"/>
    </row>
    <row r="798" spans="1:18" s="149" customFormat="1" ht="15">
      <c r="A798" s="135"/>
      <c r="E798" s="165"/>
      <c r="F798" s="164"/>
      <c r="G798" s="526"/>
      <c r="H798" s="527"/>
      <c r="I798" s="164"/>
      <c r="J798" s="165"/>
      <c r="K798" s="1251"/>
      <c r="L798" s="1251"/>
      <c r="M798" s="165"/>
      <c r="N798" s="176"/>
      <c r="O798" s="164"/>
      <c r="P798" s="164"/>
      <c r="Q798" s="164"/>
      <c r="R798" s="164"/>
    </row>
    <row r="799" spans="1:18" s="149" customFormat="1">
      <c r="A799" s="135">
        <v>9</v>
      </c>
      <c r="B799" s="502" t="s">
        <v>1233</v>
      </c>
      <c r="D799" s="135"/>
      <c r="E799" s="135"/>
      <c r="G799" s="524"/>
      <c r="H799" s="516"/>
      <c r="I799" s="164"/>
      <c r="J799" s="519"/>
      <c r="K799" s="165"/>
      <c r="L799" s="165"/>
      <c r="M799" s="165"/>
      <c r="N799" s="164"/>
      <c r="O799" s="164"/>
      <c r="P799" s="164"/>
      <c r="Q799" s="164"/>
      <c r="R799" s="164"/>
    </row>
    <row r="800" spans="1:18" s="149" customFormat="1">
      <c r="A800" s="135"/>
      <c r="B800" s="36" t="s">
        <v>1051</v>
      </c>
      <c r="D800" s="135"/>
      <c r="E800" s="135"/>
      <c r="G800" s="524"/>
      <c r="H800" s="516"/>
      <c r="I800" s="164"/>
      <c r="J800" s="519"/>
      <c r="K800" s="165"/>
      <c r="L800" s="165"/>
      <c r="M800" s="165"/>
      <c r="N800" s="164"/>
      <c r="O800" s="164"/>
      <c r="P800" s="164"/>
      <c r="Q800" s="164"/>
      <c r="R800" s="164"/>
    </row>
    <row r="801" spans="1:18" s="149" customFormat="1">
      <c r="A801" s="135"/>
      <c r="B801" s="20" t="s">
        <v>1232</v>
      </c>
      <c r="C801" s="121">
        <v>8</v>
      </c>
      <c r="D801" s="120">
        <v>1.1599999999999999</v>
      </c>
      <c r="E801" s="121">
        <v>1.41</v>
      </c>
      <c r="F801" s="120"/>
      <c r="G801" s="432">
        <f>E801*D801*C801</f>
        <v>13.084799999999998</v>
      </c>
      <c r="H801" s="516"/>
      <c r="I801" s="164"/>
      <c r="J801" s="519"/>
      <c r="K801" s="165"/>
      <c r="L801" s="165"/>
      <c r="M801" s="165"/>
      <c r="N801" s="164"/>
      <c r="O801" s="164"/>
      <c r="P801" s="164"/>
      <c r="Q801" s="164"/>
      <c r="R801" s="164"/>
    </row>
    <row r="802" spans="1:18" s="149" customFormat="1">
      <c r="A802" s="135"/>
      <c r="C802" s="121">
        <v>16</v>
      </c>
      <c r="D802" s="120">
        <v>1.085</v>
      </c>
      <c r="E802" s="120">
        <v>1.41</v>
      </c>
      <c r="F802" s="121"/>
      <c r="G802" s="432">
        <f t="shared" ref="G802:G808" si="26">E802*D802*C802</f>
        <v>24.477599999999999</v>
      </c>
      <c r="I802" s="164"/>
      <c r="J802" s="505"/>
      <c r="K802" s="165"/>
      <c r="L802" s="165"/>
      <c r="M802" s="165"/>
      <c r="N802" s="164"/>
      <c r="O802" s="176"/>
      <c r="P802" s="164"/>
      <c r="Q802" s="164"/>
      <c r="R802" s="164"/>
    </row>
    <row r="803" spans="1:18" s="149" customFormat="1">
      <c r="A803" s="135"/>
      <c r="C803" s="121">
        <v>4</v>
      </c>
      <c r="D803" s="120">
        <v>1.5649999999999999</v>
      </c>
      <c r="E803" s="120">
        <v>1.1599999999999999</v>
      </c>
      <c r="F803" s="121"/>
      <c r="G803" s="432">
        <f t="shared" si="26"/>
        <v>7.2615999999999996</v>
      </c>
      <c r="I803" s="164"/>
      <c r="J803" s="505"/>
      <c r="K803" s="165"/>
      <c r="L803" s="165"/>
      <c r="M803" s="165"/>
      <c r="N803" s="164"/>
      <c r="O803" s="176"/>
      <c r="P803" s="164"/>
      <c r="Q803" s="164"/>
      <c r="R803" s="164"/>
    </row>
    <row r="804" spans="1:18" s="149" customFormat="1">
      <c r="A804" s="135"/>
      <c r="B804" s="36"/>
      <c r="C804" s="121">
        <v>4</v>
      </c>
      <c r="D804" s="120">
        <v>1.5649999999999999</v>
      </c>
      <c r="E804" s="121">
        <v>1.085</v>
      </c>
      <c r="F804" s="120"/>
      <c r="G804" s="432">
        <f t="shared" si="26"/>
        <v>6.7920999999999996</v>
      </c>
      <c r="H804" s="516"/>
      <c r="I804" s="164"/>
      <c r="J804" s="519"/>
      <c r="K804" s="165"/>
      <c r="L804" s="165"/>
      <c r="M804" s="165"/>
      <c r="N804" s="164"/>
      <c r="O804" s="164"/>
      <c r="P804" s="164"/>
      <c r="Q804" s="164"/>
      <c r="R804" s="164"/>
    </row>
    <row r="805" spans="1:18" s="149" customFormat="1">
      <c r="A805" s="135"/>
      <c r="B805" s="36"/>
      <c r="C805" s="121">
        <v>4</v>
      </c>
      <c r="D805" s="1256">
        <f>19249718.9834/1000000</f>
        <v>19.249718983399998</v>
      </c>
      <c r="E805" s="1256"/>
      <c r="F805" s="120"/>
      <c r="G805" s="432">
        <f>D805*C805</f>
        <v>76.99887593359999</v>
      </c>
      <c r="H805" s="516"/>
      <c r="I805" s="164"/>
      <c r="J805" s="519"/>
      <c r="K805" s="165"/>
      <c r="L805" s="165"/>
      <c r="M805" s="165"/>
      <c r="N805" s="164"/>
      <c r="O805" s="164"/>
      <c r="P805" s="164"/>
      <c r="Q805" s="164"/>
      <c r="R805" s="164"/>
    </row>
    <row r="806" spans="1:18" s="149" customFormat="1">
      <c r="A806" s="135"/>
      <c r="B806" s="36"/>
      <c r="C806" s="121">
        <v>1</v>
      </c>
      <c r="D806" s="120">
        <v>2.1</v>
      </c>
      <c r="E806" s="120">
        <v>1.35</v>
      </c>
      <c r="F806" s="120"/>
      <c r="G806" s="432">
        <f>E806*D806*C806</f>
        <v>2.8350000000000004</v>
      </c>
      <c r="H806" s="516"/>
      <c r="I806" s="164"/>
      <c r="J806" s="519"/>
      <c r="K806" s="165"/>
      <c r="L806" s="165"/>
      <c r="M806" s="165"/>
      <c r="N806" s="164"/>
      <c r="O806" s="164"/>
      <c r="P806" s="164"/>
      <c r="Q806" s="164"/>
      <c r="R806" s="164"/>
    </row>
    <row r="807" spans="1:18" s="149" customFormat="1">
      <c r="A807" s="135"/>
      <c r="B807" s="20" t="s">
        <v>1326</v>
      </c>
      <c r="C807" s="121">
        <v>1</v>
      </c>
      <c r="D807" s="120">
        <v>2.81</v>
      </c>
      <c r="E807" s="120">
        <v>2.52</v>
      </c>
      <c r="F807" s="120"/>
      <c r="G807" s="432">
        <f t="shared" si="26"/>
        <v>7.0811999999999999</v>
      </c>
      <c r="H807" s="516"/>
      <c r="I807" s="164"/>
      <c r="J807" s="519"/>
      <c r="K807" s="165"/>
      <c r="L807" s="165"/>
      <c r="M807" s="165"/>
      <c r="N807" s="164"/>
      <c r="O807" s="164"/>
      <c r="P807" s="164"/>
      <c r="Q807" s="164"/>
      <c r="R807" s="164"/>
    </row>
    <row r="808" spans="1:18" s="149" customFormat="1">
      <c r="A808" s="135"/>
      <c r="C808" s="121">
        <v>1</v>
      </c>
      <c r="D808" s="120">
        <v>2.0299999999999998</v>
      </c>
      <c r="E808" s="120">
        <v>1.72</v>
      </c>
      <c r="F808" s="120"/>
      <c r="G808" s="500">
        <f t="shared" si="26"/>
        <v>3.4915999999999996</v>
      </c>
      <c r="H808" s="516"/>
      <c r="I808" s="164"/>
      <c r="J808" s="519"/>
      <c r="K808" s="165"/>
      <c r="L808" s="165"/>
      <c r="M808" s="165"/>
      <c r="N808" s="164"/>
      <c r="O808" s="164"/>
      <c r="P808" s="164"/>
      <c r="Q808" s="164"/>
      <c r="R808" s="164"/>
    </row>
    <row r="809" spans="1:18" s="149" customFormat="1">
      <c r="A809" s="135"/>
      <c r="C809" s="121"/>
      <c r="D809" s="120"/>
      <c r="E809" s="120"/>
      <c r="F809" s="120"/>
      <c r="G809" s="432">
        <f>SUM(G801:G808)</f>
        <v>142.0227759336</v>
      </c>
      <c r="H809" s="516"/>
      <c r="I809" s="164"/>
      <c r="J809" s="519"/>
      <c r="K809" s="165"/>
      <c r="L809" s="165"/>
      <c r="M809" s="165"/>
      <c r="N809" s="164"/>
      <c r="O809" s="164"/>
      <c r="P809" s="164"/>
      <c r="Q809" s="164"/>
      <c r="R809" s="164"/>
    </row>
    <row r="810" spans="1:18" s="149" customFormat="1">
      <c r="A810" s="135"/>
      <c r="C810" s="121"/>
      <c r="D810" s="120"/>
      <c r="E810" s="120"/>
      <c r="F810" s="120"/>
      <c r="G810" s="656">
        <f>G809*10%</f>
        <v>14.202277593360002</v>
      </c>
      <c r="H810" s="516"/>
      <c r="I810" s="164"/>
      <c r="J810" s="519"/>
      <c r="K810" s="165"/>
      <c r="L810" s="165"/>
      <c r="M810" s="165"/>
      <c r="N810" s="164"/>
      <c r="O810" s="164"/>
      <c r="P810" s="164"/>
      <c r="Q810" s="164"/>
      <c r="R810" s="164"/>
    </row>
    <row r="811" spans="1:18" s="149" customFormat="1">
      <c r="A811" s="135"/>
      <c r="B811" s="36"/>
      <c r="C811" s="121"/>
      <c r="D811" s="121"/>
      <c r="E811" s="121"/>
      <c r="F811" s="121"/>
      <c r="G811" s="551">
        <f>G810+G809</f>
        <v>156.22505352696001</v>
      </c>
      <c r="H811" s="143" t="s">
        <v>32</v>
      </c>
      <c r="I811" s="164"/>
      <c r="J811" s="519"/>
      <c r="K811" s="165"/>
      <c r="L811" s="165"/>
      <c r="M811" s="165"/>
      <c r="N811" s="164"/>
      <c r="O811" s="164"/>
      <c r="P811" s="164"/>
      <c r="Q811" s="164"/>
      <c r="R811" s="164"/>
    </row>
    <row r="812" spans="1:18" s="149" customFormat="1">
      <c r="A812" s="135"/>
      <c r="B812" s="36"/>
      <c r="C812" s="121"/>
      <c r="D812" s="121"/>
      <c r="E812" s="121"/>
      <c r="F812" s="121"/>
      <c r="G812" s="530"/>
      <c r="H812" s="143"/>
      <c r="I812" s="164"/>
      <c r="J812" s="519"/>
      <c r="K812" s="165"/>
      <c r="L812" s="165"/>
      <c r="M812" s="165"/>
      <c r="N812" s="164"/>
      <c r="O812" s="164"/>
      <c r="P812" s="164"/>
      <c r="Q812" s="164"/>
      <c r="R812" s="164"/>
    </row>
    <row r="813" spans="1:18" s="149" customFormat="1" ht="15">
      <c r="A813" s="135"/>
      <c r="D813" s="135"/>
      <c r="E813" s="135"/>
      <c r="G813" s="515"/>
      <c r="H813" s="516"/>
      <c r="I813" s="164"/>
      <c r="J813" s="519"/>
      <c r="K813" s="165"/>
      <c r="L813" s="165"/>
      <c r="M813" s="165"/>
      <c r="N813" s="164"/>
      <c r="O813" s="164"/>
      <c r="P813" s="164"/>
      <c r="Q813" s="164"/>
      <c r="R813" s="164"/>
    </row>
    <row r="814" spans="1:18" s="149" customFormat="1">
      <c r="A814" s="135"/>
      <c r="B814" s="36" t="s">
        <v>1214</v>
      </c>
      <c r="D814" s="135"/>
      <c r="E814" s="135"/>
      <c r="G814" s="524"/>
      <c r="H814" s="516"/>
      <c r="I814" s="164"/>
      <c r="J814" s="519"/>
      <c r="K814" s="165"/>
      <c r="L814" s="165"/>
      <c r="M814" s="165"/>
      <c r="N814" s="164"/>
      <c r="O814" s="164"/>
      <c r="P814" s="164"/>
      <c r="Q814" s="164"/>
      <c r="R814" s="164"/>
    </row>
    <row r="815" spans="1:18" s="149" customFormat="1">
      <c r="A815" s="135"/>
      <c r="B815" s="20" t="s">
        <v>1232</v>
      </c>
      <c r="C815" s="121">
        <v>8</v>
      </c>
      <c r="D815" s="120">
        <v>1.1599999999999999</v>
      </c>
      <c r="E815" s="121">
        <v>1.41</v>
      </c>
      <c r="F815" s="120"/>
      <c r="G815" s="432">
        <f>E815*D815*C815</f>
        <v>13.084799999999998</v>
      </c>
      <c r="H815" s="516"/>
      <c r="I815" s="164"/>
      <c r="J815" s="519"/>
      <c r="K815" s="165"/>
      <c r="L815" s="165"/>
      <c r="M815" s="165"/>
      <c r="N815" s="164"/>
      <c r="O815" s="164"/>
      <c r="P815" s="164"/>
      <c r="Q815" s="164"/>
      <c r="R815" s="164"/>
    </row>
    <row r="816" spans="1:18" s="149" customFormat="1">
      <c r="A816" s="135"/>
      <c r="C816" s="121">
        <v>16</v>
      </c>
      <c r="D816" s="120">
        <v>1.085</v>
      </c>
      <c r="E816" s="120">
        <v>1.41</v>
      </c>
      <c r="F816" s="121"/>
      <c r="G816" s="432">
        <f>E816*D816*C816</f>
        <v>24.477599999999999</v>
      </c>
      <c r="H816" s="516"/>
      <c r="I816" s="164"/>
      <c r="J816" s="519"/>
      <c r="K816" s="165"/>
      <c r="L816" s="165"/>
      <c r="M816" s="165"/>
      <c r="N816" s="164"/>
      <c r="O816" s="164"/>
      <c r="P816" s="164"/>
      <c r="Q816" s="164"/>
      <c r="R816" s="164"/>
    </row>
    <row r="817" spans="1:18" s="149" customFormat="1">
      <c r="A817" s="135"/>
      <c r="C817" s="121">
        <v>4</v>
      </c>
      <c r="D817" s="120">
        <v>1.5649999999999999</v>
      </c>
      <c r="E817" s="120">
        <v>1.1599999999999999</v>
      </c>
      <c r="F817" s="121"/>
      <c r="G817" s="432">
        <f>E817*D817*C817</f>
        <v>7.2615999999999996</v>
      </c>
      <c r="H817" s="516"/>
      <c r="I817" s="164"/>
      <c r="J817" s="519"/>
      <c r="K817" s="165"/>
      <c r="L817" s="165"/>
      <c r="M817" s="165"/>
      <c r="N817" s="164"/>
      <c r="O817" s="164"/>
      <c r="P817" s="164"/>
      <c r="Q817" s="164"/>
      <c r="R817" s="164"/>
    </row>
    <row r="818" spans="1:18" s="149" customFormat="1">
      <c r="A818" s="135"/>
      <c r="B818" s="36"/>
      <c r="C818" s="121">
        <v>4</v>
      </c>
      <c r="D818" s="120">
        <v>1.5649999999999999</v>
      </c>
      <c r="E818" s="121">
        <v>1.085</v>
      </c>
      <c r="F818" s="120"/>
      <c r="G818" s="432">
        <f>E818*D818*C818</f>
        <v>6.7920999999999996</v>
      </c>
      <c r="H818" s="516"/>
      <c r="I818" s="164"/>
      <c r="J818" s="519"/>
      <c r="K818" s="165"/>
      <c r="L818" s="165"/>
      <c r="M818" s="165"/>
      <c r="N818" s="164"/>
      <c r="O818" s="164"/>
      <c r="P818" s="164"/>
      <c r="Q818" s="164"/>
      <c r="R818" s="164"/>
    </row>
    <row r="819" spans="1:18" s="149" customFormat="1">
      <c r="A819" s="135"/>
      <c r="B819" s="36"/>
      <c r="C819" s="121">
        <v>4</v>
      </c>
      <c r="D819" s="1256">
        <f>19249718.9834/1000000</f>
        <v>19.249718983399998</v>
      </c>
      <c r="E819" s="1256"/>
      <c r="F819" s="120"/>
      <c r="G819" s="432">
        <f>D819*C819</f>
        <v>76.99887593359999</v>
      </c>
      <c r="H819" s="516"/>
      <c r="I819" s="164"/>
      <c r="J819" s="519"/>
      <c r="K819" s="165"/>
      <c r="L819" s="165"/>
      <c r="M819" s="165"/>
      <c r="N819" s="164"/>
      <c r="O819" s="164"/>
      <c r="P819" s="164"/>
      <c r="Q819" s="164"/>
      <c r="R819" s="164"/>
    </row>
    <row r="820" spans="1:18" s="149" customFormat="1">
      <c r="A820" s="135"/>
      <c r="B820" s="36"/>
      <c r="C820" s="121">
        <v>1</v>
      </c>
      <c r="D820" s="120">
        <v>2.1</v>
      </c>
      <c r="E820" s="120">
        <v>1.35</v>
      </c>
      <c r="F820" s="120"/>
      <c r="G820" s="500">
        <f>E820*D820*C820</f>
        <v>2.8350000000000004</v>
      </c>
      <c r="H820" s="516"/>
      <c r="I820" s="164"/>
      <c r="J820" s="519"/>
      <c r="K820" s="165"/>
      <c r="L820" s="165"/>
      <c r="M820" s="165"/>
      <c r="N820" s="164"/>
      <c r="O820" s="164"/>
      <c r="P820" s="164"/>
      <c r="Q820" s="164"/>
      <c r="R820" s="164"/>
    </row>
    <row r="821" spans="1:18" s="149" customFormat="1">
      <c r="A821" s="135"/>
      <c r="B821" s="36"/>
      <c r="C821" s="121"/>
      <c r="D821" s="120"/>
      <c r="E821" s="120"/>
      <c r="F821" s="120"/>
      <c r="G821" s="432">
        <f>SUM(G815:G820)</f>
        <v>131.4499759336</v>
      </c>
      <c r="H821" s="516"/>
      <c r="I821" s="164"/>
      <c r="J821" s="519"/>
      <c r="K821" s="165"/>
      <c r="L821" s="165"/>
      <c r="M821" s="165"/>
      <c r="N821" s="164"/>
      <c r="O821" s="164"/>
      <c r="P821" s="164"/>
      <c r="Q821" s="164"/>
      <c r="R821" s="164"/>
    </row>
    <row r="822" spans="1:18" s="149" customFormat="1">
      <c r="A822" s="135"/>
      <c r="B822" s="36"/>
      <c r="C822" s="121"/>
      <c r="D822" s="120"/>
      <c r="E822" s="120"/>
      <c r="F822" s="120"/>
      <c r="G822" s="656">
        <f>G821*10%</f>
        <v>13.144997593360001</v>
      </c>
      <c r="H822" s="516"/>
      <c r="I822" s="164"/>
      <c r="J822" s="519"/>
      <c r="K822" s="165"/>
      <c r="L822" s="165"/>
      <c r="M822" s="165"/>
      <c r="N822" s="164"/>
      <c r="O822" s="164"/>
      <c r="P822" s="164"/>
      <c r="Q822" s="164"/>
      <c r="R822" s="164"/>
    </row>
    <row r="823" spans="1:18" s="149" customFormat="1">
      <c r="A823" s="135"/>
      <c r="B823" s="36"/>
      <c r="D823" s="135"/>
      <c r="E823" s="135"/>
      <c r="G823" s="551">
        <f>G822+G821</f>
        <v>144.59497352695999</v>
      </c>
      <c r="H823" s="143" t="s">
        <v>32</v>
      </c>
      <c r="I823" s="164"/>
      <c r="J823" s="519"/>
      <c r="K823" s="165"/>
      <c r="L823" s="165"/>
      <c r="M823" s="165"/>
      <c r="N823" s="164"/>
      <c r="O823" s="164"/>
      <c r="P823" s="164"/>
      <c r="Q823" s="164"/>
      <c r="R823" s="164"/>
    </row>
    <row r="824" spans="1:18" s="149" customFormat="1">
      <c r="A824" s="135"/>
      <c r="B824" s="36"/>
      <c r="D824" s="135"/>
      <c r="E824" s="135"/>
      <c r="G824" s="532"/>
      <c r="H824" s="516"/>
      <c r="I824" s="164"/>
      <c r="J824" s="519"/>
      <c r="K824" s="165"/>
      <c r="L824" s="165"/>
      <c r="M824" s="165"/>
      <c r="N824" s="164"/>
      <c r="O824" s="164"/>
      <c r="P824" s="164"/>
      <c r="Q824" s="164"/>
      <c r="R824" s="164"/>
    </row>
    <row r="825" spans="1:18" s="149" customFormat="1">
      <c r="A825" s="135"/>
      <c r="D825" s="135"/>
      <c r="E825" s="135"/>
      <c r="I825" s="164"/>
      <c r="J825" s="519"/>
      <c r="K825" s="165"/>
      <c r="L825" s="165"/>
      <c r="M825" s="165"/>
      <c r="N825" s="164"/>
      <c r="O825" s="164"/>
      <c r="P825" s="164"/>
      <c r="Q825" s="164"/>
      <c r="R825" s="164"/>
    </row>
    <row r="826" spans="1:18" s="149" customFormat="1">
      <c r="A826" s="135">
        <v>10</v>
      </c>
      <c r="B826" s="531" t="s">
        <v>1313</v>
      </c>
      <c r="E826" s="121"/>
      <c r="G826" s="524"/>
      <c r="H826" s="516"/>
      <c r="I826" s="164"/>
      <c r="J826" s="164"/>
      <c r="K826" s="165"/>
      <c r="L826" s="165"/>
      <c r="M826" s="165"/>
      <c r="N826" s="164"/>
      <c r="O826" s="164"/>
      <c r="P826" s="164"/>
      <c r="Q826" s="164"/>
      <c r="R826" s="164"/>
    </row>
    <row r="827" spans="1:18" s="149" customFormat="1">
      <c r="A827" s="135"/>
      <c r="B827" s="20" t="s">
        <v>1325</v>
      </c>
      <c r="C827" s="121">
        <v>1</v>
      </c>
      <c r="D827" s="121">
        <f>9.33*0.3</f>
        <v>2.7989999999999999</v>
      </c>
      <c r="E827" s="121">
        <f>8.41*0.3</f>
        <v>2.5230000000000001</v>
      </c>
      <c r="G827" s="432">
        <f>E827*D827*C827</f>
        <v>7.061877</v>
      </c>
      <c r="I827" s="164"/>
      <c r="J827" s="164"/>
      <c r="K827" s="165"/>
      <c r="L827" s="165"/>
      <c r="M827" s="165"/>
      <c r="N827" s="164"/>
      <c r="O827" s="164"/>
      <c r="P827" s="164"/>
      <c r="Q827" s="164"/>
      <c r="R827" s="164"/>
    </row>
    <row r="828" spans="1:18" s="149" customFormat="1">
      <c r="A828" s="135"/>
      <c r="B828" s="20" t="s">
        <v>1327</v>
      </c>
      <c r="C828" s="121">
        <v>1</v>
      </c>
      <c r="D828" s="120">
        <f>25.66*0.3</f>
        <v>7.6979999999999995</v>
      </c>
      <c r="E828" s="120">
        <f>19.16*0.3</f>
        <v>5.7480000000000002</v>
      </c>
      <c r="G828" s="432">
        <f t="shared" ref="G828:G847" si="27">E828*D828*C828</f>
        <v>44.248103999999998</v>
      </c>
      <c r="I828" s="164"/>
      <c r="J828" s="164"/>
      <c r="K828" s="165"/>
      <c r="L828" s="165"/>
      <c r="M828" s="165"/>
      <c r="N828" s="164"/>
      <c r="O828" s="164"/>
      <c r="P828" s="164"/>
      <c r="Q828" s="164"/>
      <c r="R828" s="164"/>
    </row>
    <row r="829" spans="1:18" s="149" customFormat="1">
      <c r="A829" s="135"/>
      <c r="B829" s="20"/>
      <c r="C829" s="121">
        <v>1</v>
      </c>
      <c r="D829" s="120">
        <v>1.52</v>
      </c>
      <c r="E829" s="120">
        <v>2.0299999999999998</v>
      </c>
      <c r="G829" s="432">
        <f t="shared" si="27"/>
        <v>3.0855999999999999</v>
      </c>
      <c r="I829" s="164"/>
      <c r="J829" s="164"/>
      <c r="K829" s="165"/>
      <c r="L829" s="165"/>
      <c r="M829" s="165"/>
      <c r="N829" s="164"/>
      <c r="O829" s="164"/>
      <c r="P829" s="164"/>
      <c r="Q829" s="164"/>
      <c r="R829" s="164"/>
    </row>
    <row r="830" spans="1:18" s="149" customFormat="1">
      <c r="A830" s="135"/>
      <c r="B830" s="20" t="s">
        <v>1372</v>
      </c>
      <c r="C830" s="121">
        <v>1</v>
      </c>
      <c r="D830" s="120">
        <v>2.2250000000000001</v>
      </c>
      <c r="E830" s="120">
        <v>1.9</v>
      </c>
      <c r="G830" s="432">
        <f t="shared" si="27"/>
        <v>4.2275</v>
      </c>
      <c r="I830" s="164"/>
      <c r="J830" s="164"/>
      <c r="K830" s="165"/>
      <c r="L830" s="165"/>
      <c r="M830" s="165"/>
      <c r="N830" s="164"/>
      <c r="O830" s="164"/>
      <c r="P830" s="164"/>
      <c r="Q830" s="164"/>
      <c r="R830" s="164"/>
    </row>
    <row r="831" spans="1:18" s="264" customFormat="1">
      <c r="A831" s="576"/>
      <c r="B831" s="20" t="s">
        <v>1328</v>
      </c>
      <c r="C831" s="4">
        <v>1</v>
      </c>
      <c r="D831" s="4">
        <v>7.69</v>
      </c>
      <c r="E831" s="4">
        <v>0.94499999999999995</v>
      </c>
      <c r="G831" s="643">
        <f t="shared" si="27"/>
        <v>7.2670500000000002</v>
      </c>
      <c r="I831" s="504"/>
      <c r="J831" s="504"/>
      <c r="K831" s="177"/>
      <c r="L831" s="177"/>
      <c r="M831" s="177"/>
      <c r="N831" s="504"/>
      <c r="O831" s="504"/>
      <c r="P831" s="504"/>
      <c r="Q831" s="504"/>
      <c r="R831" s="504"/>
    </row>
    <row r="832" spans="1:18" s="264" customFormat="1">
      <c r="A832" s="576"/>
      <c r="C832" s="4">
        <v>1</v>
      </c>
      <c r="D832" s="4">
        <v>1.26</v>
      </c>
      <c r="E832" s="16">
        <v>0.6</v>
      </c>
      <c r="G832" s="643">
        <f t="shared" si="27"/>
        <v>0.75600000000000001</v>
      </c>
      <c r="I832" s="504"/>
      <c r="J832" s="504"/>
      <c r="K832" s="177"/>
      <c r="L832" s="177"/>
      <c r="M832" s="177"/>
      <c r="N832" s="504"/>
      <c r="O832" s="504"/>
      <c r="P832" s="504"/>
      <c r="Q832" s="504"/>
      <c r="R832" s="504"/>
    </row>
    <row r="833" spans="1:18" s="264" customFormat="1">
      <c r="A833" s="576"/>
      <c r="C833" s="4">
        <v>1</v>
      </c>
      <c r="D833" s="4">
        <v>6.12</v>
      </c>
      <c r="E833" s="16">
        <v>0.6</v>
      </c>
      <c r="G833" s="643">
        <f t="shared" si="27"/>
        <v>3.6719999999999997</v>
      </c>
      <c r="I833" s="504"/>
      <c r="J833" s="504"/>
      <c r="K833" s="177"/>
      <c r="L833" s="177"/>
      <c r="M833" s="177"/>
      <c r="N833" s="504"/>
      <c r="O833" s="504"/>
      <c r="P833" s="504"/>
      <c r="Q833" s="504"/>
      <c r="R833" s="504"/>
    </row>
    <row r="834" spans="1:18" s="264" customFormat="1">
      <c r="A834" s="576"/>
      <c r="C834" s="4">
        <v>1</v>
      </c>
      <c r="D834" s="4">
        <v>2.2250000000000001</v>
      </c>
      <c r="E834" s="16">
        <v>0.6</v>
      </c>
      <c r="G834" s="643">
        <f t="shared" si="27"/>
        <v>1.335</v>
      </c>
      <c r="I834" s="504"/>
      <c r="J834" s="504"/>
      <c r="K834" s="177"/>
      <c r="L834" s="177"/>
      <c r="M834" s="177"/>
      <c r="N834" s="504"/>
      <c r="O834" s="504"/>
      <c r="P834" s="504"/>
      <c r="Q834" s="504"/>
      <c r="R834" s="504"/>
    </row>
    <row r="835" spans="1:18" s="264" customFormat="1">
      <c r="A835" s="576"/>
      <c r="B835" s="264" t="s">
        <v>1329</v>
      </c>
      <c r="C835" s="4">
        <v>1</v>
      </c>
      <c r="D835" s="4">
        <v>14.25</v>
      </c>
      <c r="E835" s="4">
        <v>5.74</v>
      </c>
      <c r="F835" s="20"/>
      <c r="G835" s="643">
        <f t="shared" si="27"/>
        <v>81.795000000000002</v>
      </c>
      <c r="H835" s="642"/>
      <c r="I835" s="504"/>
      <c r="J835" s="504"/>
      <c r="K835" s="177"/>
      <c r="L835" s="177"/>
      <c r="M835" s="177"/>
      <c r="N835" s="504"/>
      <c r="O835" s="504"/>
      <c r="P835" s="504"/>
      <c r="Q835" s="504"/>
      <c r="R835" s="504"/>
    </row>
    <row r="836" spans="1:18" s="264" customFormat="1">
      <c r="A836" s="576"/>
      <c r="B836" s="20" t="s">
        <v>1303</v>
      </c>
      <c r="C836" s="4">
        <v>2</v>
      </c>
      <c r="D836" s="4">
        <f>16.91*0.3</f>
        <v>5.0729999999999995</v>
      </c>
      <c r="E836" s="4">
        <f>12.33*0.3</f>
        <v>3.6989999999999998</v>
      </c>
      <c r="F836" s="20"/>
      <c r="G836" s="643">
        <f t="shared" si="27"/>
        <v>37.530053999999993</v>
      </c>
      <c r="H836" s="642"/>
      <c r="I836" s="504"/>
      <c r="J836" s="504"/>
      <c r="K836" s="177"/>
      <c r="L836" s="177"/>
      <c r="M836" s="177"/>
      <c r="N836" s="504"/>
      <c r="O836" s="504"/>
      <c r="P836" s="504"/>
      <c r="Q836" s="504"/>
      <c r="R836" s="504"/>
    </row>
    <row r="837" spans="1:18" s="264" customFormat="1">
      <c r="A837" s="576"/>
      <c r="B837" s="20"/>
      <c r="C837" s="4">
        <v>4</v>
      </c>
      <c r="D837" s="4">
        <f>8.33*0.3</f>
        <v>2.4990000000000001</v>
      </c>
      <c r="E837" s="4">
        <f>5.16*0.3</f>
        <v>1.548</v>
      </c>
      <c r="F837" s="20"/>
      <c r="G837" s="643">
        <f t="shared" si="27"/>
        <v>15.473808000000002</v>
      </c>
      <c r="H837" s="642"/>
      <c r="I837" s="504"/>
      <c r="J837" s="504"/>
      <c r="K837" s="177"/>
      <c r="L837" s="177"/>
      <c r="M837" s="177"/>
      <c r="N837" s="504"/>
      <c r="O837" s="504"/>
      <c r="P837" s="504"/>
      <c r="Q837" s="504"/>
      <c r="R837" s="504"/>
    </row>
    <row r="838" spans="1:18" s="264" customFormat="1">
      <c r="A838" s="576"/>
      <c r="B838" s="20"/>
      <c r="C838" s="4">
        <v>2</v>
      </c>
      <c r="D838" s="4">
        <f>5.16*0.3</f>
        <v>1.548</v>
      </c>
      <c r="E838" s="4">
        <f>12.33*0.3</f>
        <v>3.6989999999999998</v>
      </c>
      <c r="F838" s="20"/>
      <c r="G838" s="643">
        <f t="shared" si="27"/>
        <v>11.452104</v>
      </c>
      <c r="H838" s="642"/>
      <c r="I838" s="504"/>
      <c r="J838" s="504"/>
      <c r="K838" s="177"/>
      <c r="L838" s="177"/>
      <c r="M838" s="177"/>
      <c r="N838" s="504"/>
      <c r="O838" s="504"/>
      <c r="P838" s="504"/>
      <c r="Q838" s="504"/>
      <c r="R838" s="504"/>
    </row>
    <row r="839" spans="1:18" s="264" customFormat="1">
      <c r="A839" s="576"/>
      <c r="B839" s="20" t="s">
        <v>1330</v>
      </c>
      <c r="C839" s="4">
        <v>6</v>
      </c>
      <c r="D839" s="4">
        <f>36.41*0.3</f>
        <v>10.922999999999998</v>
      </c>
      <c r="E839" s="4">
        <f>15.91*0.3</f>
        <v>4.7729999999999997</v>
      </c>
      <c r="F839" s="20"/>
      <c r="G839" s="643">
        <f t="shared" si="27"/>
        <v>312.81287399999997</v>
      </c>
      <c r="H839" s="642"/>
      <c r="I839" s="504"/>
      <c r="J839" s="504"/>
      <c r="K839" s="177"/>
      <c r="L839" s="177"/>
      <c r="M839" s="177"/>
      <c r="N839" s="504"/>
      <c r="O839" s="504"/>
      <c r="P839" s="504"/>
      <c r="Q839" s="504"/>
      <c r="R839" s="504"/>
    </row>
    <row r="840" spans="1:18" s="264" customFormat="1">
      <c r="A840" s="576"/>
      <c r="B840" s="20" t="s">
        <v>1304</v>
      </c>
      <c r="C840" s="4">
        <v>1</v>
      </c>
      <c r="D840" s="4">
        <f>12.33*0.3</f>
        <v>3.6989999999999998</v>
      </c>
      <c r="E840" s="4">
        <f>15.91*0.3</f>
        <v>4.7729999999999997</v>
      </c>
      <c r="F840" s="20"/>
      <c r="G840" s="643">
        <f t="shared" si="27"/>
        <v>17.655327</v>
      </c>
      <c r="H840" s="642"/>
      <c r="I840" s="504"/>
      <c r="J840" s="504"/>
      <c r="K840" s="177"/>
      <c r="L840" s="177"/>
      <c r="M840" s="177"/>
      <c r="N840" s="504"/>
      <c r="O840" s="504"/>
      <c r="P840" s="504"/>
      <c r="Q840" s="504"/>
      <c r="R840" s="504"/>
    </row>
    <row r="841" spans="1:18" s="264" customFormat="1">
      <c r="A841" s="576"/>
      <c r="B841" s="20" t="s">
        <v>1331</v>
      </c>
      <c r="C841" s="4">
        <v>1</v>
      </c>
      <c r="D841" s="4">
        <f>12.33*0.3</f>
        <v>3.6989999999999998</v>
      </c>
      <c r="E841" s="4">
        <f>15.91*0.3</f>
        <v>4.7729999999999997</v>
      </c>
      <c r="F841" s="20"/>
      <c r="G841" s="643">
        <f t="shared" si="27"/>
        <v>17.655327</v>
      </c>
      <c r="H841" s="642"/>
      <c r="I841" s="504"/>
      <c r="J841" s="504"/>
      <c r="K841" s="177"/>
      <c r="L841" s="177"/>
      <c r="M841" s="177"/>
      <c r="N841" s="504"/>
      <c r="O841" s="504"/>
      <c r="P841" s="504"/>
      <c r="Q841" s="504"/>
      <c r="R841" s="504"/>
    </row>
    <row r="842" spans="1:18" s="264" customFormat="1">
      <c r="A842" s="576"/>
      <c r="B842" s="20" t="s">
        <v>1302</v>
      </c>
      <c r="C842" s="4">
        <v>4</v>
      </c>
      <c r="D842" s="4">
        <f>14*0.3</f>
        <v>4.2</v>
      </c>
      <c r="E842" s="4">
        <f>25.58*0.3</f>
        <v>7.6739999999999995</v>
      </c>
      <c r="F842" s="20"/>
      <c r="G842" s="643">
        <f t="shared" si="27"/>
        <v>128.92320000000001</v>
      </c>
      <c r="H842" s="642"/>
      <c r="I842" s="504"/>
      <c r="J842" s="504"/>
      <c r="K842" s="177"/>
      <c r="L842" s="177"/>
      <c r="M842" s="177"/>
      <c r="N842" s="504"/>
      <c r="O842" s="504"/>
      <c r="P842" s="504"/>
      <c r="Q842" s="504"/>
      <c r="R842" s="504"/>
    </row>
    <row r="843" spans="1:18" s="264" customFormat="1">
      <c r="A843" s="576"/>
      <c r="B843" s="20"/>
      <c r="C843" s="4">
        <v>2</v>
      </c>
      <c r="D843" s="4">
        <f>74*0.3</f>
        <v>22.2</v>
      </c>
      <c r="E843" s="4">
        <f>8*0.3</f>
        <v>2.4</v>
      </c>
      <c r="F843" s="20"/>
      <c r="G843" s="643">
        <f t="shared" si="27"/>
        <v>106.55999999999999</v>
      </c>
      <c r="H843" s="642"/>
      <c r="I843" s="504"/>
      <c r="J843" s="504"/>
      <c r="K843" s="177"/>
      <c r="L843" s="177"/>
      <c r="M843" s="177"/>
      <c r="N843" s="504"/>
      <c r="O843" s="504"/>
      <c r="P843" s="504"/>
      <c r="Q843" s="504"/>
      <c r="R843" s="504"/>
    </row>
    <row r="844" spans="1:18" s="264" customFormat="1">
      <c r="A844" s="576"/>
      <c r="B844" s="20"/>
      <c r="C844" s="4">
        <v>2</v>
      </c>
      <c r="D844" s="4">
        <f>38.08*0.3</f>
        <v>11.423999999999999</v>
      </c>
      <c r="E844" s="4">
        <f>8*0.3</f>
        <v>2.4</v>
      </c>
      <c r="F844" s="20"/>
      <c r="G844" s="643">
        <f t="shared" si="27"/>
        <v>54.835199999999993</v>
      </c>
      <c r="H844" s="642"/>
      <c r="I844" s="504"/>
      <c r="J844" s="504"/>
      <c r="K844" s="177"/>
      <c r="L844" s="177"/>
      <c r="M844" s="177"/>
      <c r="N844" s="504"/>
      <c r="O844" s="504"/>
      <c r="P844" s="504"/>
      <c r="Q844" s="504"/>
      <c r="R844" s="504"/>
    </row>
    <row r="845" spans="1:18" s="264" customFormat="1">
      <c r="A845" s="576"/>
      <c r="B845" s="20" t="s">
        <v>1332</v>
      </c>
      <c r="C845" s="4">
        <v>1</v>
      </c>
      <c r="D845" s="4">
        <f>9.91*0.3</f>
        <v>2.9729999999999999</v>
      </c>
      <c r="E845" s="4">
        <f>15*0.3</f>
        <v>4.5</v>
      </c>
      <c r="F845" s="20"/>
      <c r="G845" s="643">
        <f t="shared" si="27"/>
        <v>13.378499999999999</v>
      </c>
      <c r="H845" s="642"/>
      <c r="I845" s="504"/>
      <c r="J845" s="504"/>
      <c r="K845" s="177"/>
      <c r="L845" s="177"/>
      <c r="M845" s="177"/>
      <c r="N845" s="504"/>
      <c r="O845" s="504"/>
      <c r="P845" s="504"/>
      <c r="Q845" s="504"/>
      <c r="R845" s="504"/>
    </row>
    <row r="846" spans="1:18" s="264" customFormat="1">
      <c r="A846" s="576"/>
      <c r="B846" s="20" t="s">
        <v>481</v>
      </c>
      <c r="C846" s="4">
        <v>2</v>
      </c>
      <c r="D846" s="4">
        <v>2.4</v>
      </c>
      <c r="E846" s="4">
        <v>0.5</v>
      </c>
      <c r="F846" s="20"/>
      <c r="G846" s="643">
        <f t="shared" si="27"/>
        <v>2.4</v>
      </c>
      <c r="H846" s="642"/>
      <c r="I846" s="504"/>
      <c r="J846" s="504"/>
      <c r="K846" s="177"/>
      <c r="L846" s="177"/>
      <c r="M846" s="177"/>
      <c r="N846" s="504"/>
      <c r="O846" s="504"/>
      <c r="P846" s="504"/>
      <c r="Q846" s="504"/>
      <c r="R846" s="504"/>
    </row>
    <row r="847" spans="1:18" s="264" customFormat="1">
      <c r="A847" s="576"/>
      <c r="B847" s="20"/>
      <c r="C847" s="4">
        <v>1</v>
      </c>
      <c r="D847" s="4">
        <v>1.4</v>
      </c>
      <c r="E847" s="4">
        <v>1.8</v>
      </c>
      <c r="F847" s="20"/>
      <c r="G847" s="644">
        <f t="shared" si="27"/>
        <v>2.52</v>
      </c>
      <c r="H847" s="642"/>
      <c r="I847" s="504"/>
      <c r="J847" s="504"/>
      <c r="K847" s="177"/>
      <c r="L847" s="177"/>
      <c r="M847" s="177"/>
      <c r="N847" s="504"/>
      <c r="O847" s="504"/>
      <c r="P847" s="504"/>
      <c r="Q847" s="504"/>
      <c r="R847" s="504"/>
    </row>
    <row r="848" spans="1:18" s="264" customFormat="1">
      <c r="A848" s="576"/>
      <c r="B848" s="20"/>
      <c r="C848" s="4"/>
      <c r="D848" s="4"/>
      <c r="E848" s="4"/>
      <c r="F848" s="20"/>
      <c r="G848" s="643">
        <f>SUM(G827:G847)</f>
        <v>874.64452499999982</v>
      </c>
      <c r="H848" s="642"/>
      <c r="I848" s="504"/>
      <c r="J848" s="504"/>
      <c r="K848" s="177"/>
      <c r="L848" s="177"/>
      <c r="M848" s="177"/>
      <c r="N848" s="504"/>
      <c r="O848" s="504"/>
      <c r="P848" s="504"/>
      <c r="Q848" s="504"/>
      <c r="R848" s="504"/>
    </row>
    <row r="849" spans="1:18" s="264" customFormat="1">
      <c r="A849" s="576"/>
      <c r="B849" s="20"/>
      <c r="C849" s="4"/>
      <c r="D849" s="4"/>
      <c r="E849" s="4"/>
      <c r="F849" s="20"/>
      <c r="G849" s="656">
        <f>G848*10%</f>
        <v>87.464452499999993</v>
      </c>
      <c r="H849" s="642"/>
      <c r="I849" s="504"/>
      <c r="J849" s="504"/>
      <c r="K849" s="177"/>
      <c r="L849" s="177"/>
      <c r="M849" s="177"/>
      <c r="N849" s="504"/>
      <c r="O849" s="504"/>
      <c r="P849" s="504"/>
      <c r="Q849" s="504"/>
      <c r="R849" s="504"/>
    </row>
    <row r="850" spans="1:18" s="149" customFormat="1">
      <c r="A850" s="135"/>
      <c r="E850" s="121"/>
      <c r="G850" s="551">
        <f>G849+G848</f>
        <v>962.10897749999981</v>
      </c>
      <c r="H850" s="20" t="s">
        <v>32</v>
      </c>
      <c r="I850" s="164"/>
      <c r="J850" s="164"/>
      <c r="K850" s="165"/>
      <c r="L850" s="165"/>
      <c r="M850" s="165"/>
      <c r="N850" s="164"/>
      <c r="O850" s="164"/>
      <c r="P850" s="164"/>
      <c r="Q850" s="164"/>
      <c r="R850" s="164"/>
    </row>
    <row r="851" spans="1:18" s="149" customFormat="1" ht="15">
      <c r="A851" s="135"/>
      <c r="E851" s="121"/>
      <c r="G851" s="515"/>
      <c r="H851" s="516"/>
      <c r="I851" s="164"/>
      <c r="J851" s="164"/>
      <c r="K851" s="165"/>
      <c r="L851" s="165"/>
      <c r="M851" s="165"/>
      <c r="N851" s="164"/>
      <c r="O851" s="164"/>
      <c r="P851" s="164"/>
      <c r="Q851" s="164"/>
      <c r="R851" s="164"/>
    </row>
    <row r="852" spans="1:18" s="149" customFormat="1" ht="15">
      <c r="A852" s="135"/>
      <c r="B852" s="502" t="s">
        <v>1214</v>
      </c>
      <c r="E852" s="121"/>
      <c r="G852" s="515"/>
      <c r="H852" s="516"/>
      <c r="I852" s="164"/>
      <c r="J852" s="164"/>
      <c r="K852" s="165"/>
      <c r="L852" s="165"/>
      <c r="M852" s="165"/>
      <c r="N852" s="164"/>
      <c r="O852" s="164"/>
      <c r="P852" s="164"/>
      <c r="Q852" s="164"/>
      <c r="R852" s="164"/>
    </row>
    <row r="853" spans="1:18" s="149" customFormat="1">
      <c r="A853" s="135"/>
      <c r="B853" s="20" t="s">
        <v>1303</v>
      </c>
      <c r="C853" s="121">
        <v>4</v>
      </c>
      <c r="D853" s="121">
        <f>8.33*0.3</f>
        <v>2.4990000000000001</v>
      </c>
      <c r="E853" s="121">
        <f>5.16*0.3</f>
        <v>1.548</v>
      </c>
      <c r="G853" s="432">
        <f t="shared" ref="G853:G861" si="28">E853*D853*C853</f>
        <v>15.473808000000002</v>
      </c>
      <c r="H853" s="516"/>
      <c r="I853" s="164"/>
      <c r="J853" s="164"/>
      <c r="K853" s="165"/>
      <c r="L853" s="165"/>
      <c r="M853" s="165"/>
      <c r="N853" s="164"/>
      <c r="O853" s="164"/>
      <c r="P853" s="164"/>
      <c r="Q853" s="164"/>
      <c r="R853" s="164"/>
    </row>
    <row r="854" spans="1:18" s="149" customFormat="1">
      <c r="A854" s="135"/>
      <c r="B854" s="20"/>
      <c r="C854" s="121">
        <v>2</v>
      </c>
      <c r="D854" s="121">
        <f>5.16*0.3</f>
        <v>1.548</v>
      </c>
      <c r="E854" s="121">
        <f>12.33*0.3</f>
        <v>3.6989999999999998</v>
      </c>
      <c r="G854" s="432">
        <f t="shared" si="28"/>
        <v>11.452104</v>
      </c>
      <c r="H854" s="516"/>
      <c r="I854" s="164"/>
      <c r="J854" s="164"/>
      <c r="K854" s="165"/>
      <c r="L854" s="165"/>
      <c r="M854" s="165"/>
      <c r="N854" s="164"/>
      <c r="O854" s="164"/>
      <c r="P854" s="164"/>
      <c r="Q854" s="164"/>
      <c r="R854" s="164"/>
    </row>
    <row r="855" spans="1:18" s="149" customFormat="1">
      <c r="A855" s="135"/>
      <c r="B855" s="20" t="s">
        <v>1333</v>
      </c>
      <c r="C855" s="121">
        <v>1</v>
      </c>
      <c r="D855" s="121">
        <f>47.5*0.3</f>
        <v>14.25</v>
      </c>
      <c r="E855" s="121">
        <f>24.16*0.3</f>
        <v>7.2479999999999993</v>
      </c>
      <c r="G855" s="432">
        <f t="shared" si="28"/>
        <v>103.28399999999999</v>
      </c>
      <c r="H855" s="516"/>
      <c r="I855" s="164"/>
      <c r="J855" s="164"/>
      <c r="K855" s="165"/>
      <c r="L855" s="165"/>
      <c r="M855" s="165"/>
      <c r="N855" s="164"/>
      <c r="O855" s="164"/>
      <c r="P855" s="164"/>
      <c r="Q855" s="164"/>
      <c r="R855" s="164"/>
    </row>
    <row r="856" spans="1:18" s="149" customFormat="1">
      <c r="A856" s="135"/>
      <c r="B856" s="20" t="s">
        <v>1330</v>
      </c>
      <c r="C856" s="121">
        <v>6</v>
      </c>
      <c r="D856" s="121">
        <f>36.41*0.3</f>
        <v>10.922999999999998</v>
      </c>
      <c r="E856" s="121">
        <f>15.91*0.3</f>
        <v>4.7729999999999997</v>
      </c>
      <c r="G856" s="432">
        <f t="shared" si="28"/>
        <v>312.81287399999997</v>
      </c>
      <c r="H856" s="516"/>
      <c r="I856" s="164"/>
      <c r="J856" s="164"/>
      <c r="K856" s="165"/>
      <c r="L856" s="165"/>
      <c r="M856" s="165"/>
      <c r="N856" s="164"/>
      <c r="O856" s="164"/>
      <c r="P856" s="164"/>
      <c r="Q856" s="164"/>
      <c r="R856" s="164"/>
    </row>
    <row r="857" spans="1:18" s="149" customFormat="1">
      <c r="A857" s="135"/>
      <c r="B857" s="20" t="s">
        <v>1304</v>
      </c>
      <c r="C857" s="121">
        <v>1</v>
      </c>
      <c r="D857" s="121">
        <f>12.33*0.3</f>
        <v>3.6989999999999998</v>
      </c>
      <c r="E857" s="121">
        <f>15.91*0.3</f>
        <v>4.7729999999999997</v>
      </c>
      <c r="G857" s="432">
        <f t="shared" si="28"/>
        <v>17.655327</v>
      </c>
      <c r="H857" s="516"/>
      <c r="I857" s="164"/>
      <c r="J857" s="164"/>
      <c r="K857" s="165"/>
      <c r="L857" s="165"/>
      <c r="M857" s="165"/>
      <c r="N857" s="164"/>
      <c r="O857" s="164"/>
      <c r="P857" s="164"/>
      <c r="Q857" s="164"/>
      <c r="R857" s="164"/>
    </row>
    <row r="858" spans="1:18" s="149" customFormat="1">
      <c r="A858" s="135"/>
      <c r="B858" s="20" t="s">
        <v>1331</v>
      </c>
      <c r="C858" s="121">
        <v>1</v>
      </c>
      <c r="D858" s="121">
        <f>12.33*0.3</f>
        <v>3.6989999999999998</v>
      </c>
      <c r="E858" s="121">
        <f>15.91*0.3</f>
        <v>4.7729999999999997</v>
      </c>
      <c r="G858" s="432">
        <f t="shared" si="28"/>
        <v>17.655327</v>
      </c>
      <c r="H858" s="516"/>
      <c r="I858" s="164"/>
      <c r="J858" s="164"/>
      <c r="K858" s="165"/>
      <c r="L858" s="165"/>
      <c r="M858" s="165"/>
      <c r="N858" s="164"/>
      <c r="O858" s="164"/>
      <c r="P858" s="164"/>
      <c r="Q858" s="164"/>
      <c r="R858" s="164"/>
    </row>
    <row r="859" spans="1:18" s="149" customFormat="1">
      <c r="A859" s="135"/>
      <c r="B859" s="20" t="s">
        <v>1302</v>
      </c>
      <c r="C859" s="121">
        <v>4</v>
      </c>
      <c r="D859" s="121">
        <f>14*0.3</f>
        <v>4.2</v>
      </c>
      <c r="E859" s="121">
        <f>24.75*0.3</f>
        <v>7.4249999999999998</v>
      </c>
      <c r="G859" s="432">
        <f t="shared" si="28"/>
        <v>124.74000000000001</v>
      </c>
      <c r="H859" s="516"/>
      <c r="I859" s="164"/>
      <c r="J859" s="164"/>
      <c r="K859" s="165"/>
      <c r="L859" s="165"/>
      <c r="M859" s="165"/>
      <c r="N859" s="164"/>
      <c r="O859" s="164"/>
      <c r="P859" s="164"/>
      <c r="Q859" s="164"/>
      <c r="R859" s="164"/>
    </row>
    <row r="860" spans="1:18" s="149" customFormat="1">
      <c r="A860" s="135"/>
      <c r="B860" s="20"/>
      <c r="C860" s="121">
        <v>2</v>
      </c>
      <c r="D860" s="121">
        <f>75.66*0.3</f>
        <v>22.697999999999997</v>
      </c>
      <c r="E860" s="121">
        <f>8*0.3</f>
        <v>2.4</v>
      </c>
      <c r="G860" s="432">
        <f t="shared" si="28"/>
        <v>108.95039999999999</v>
      </c>
      <c r="H860" s="516"/>
      <c r="I860" s="164"/>
      <c r="J860" s="164"/>
      <c r="K860" s="165"/>
      <c r="L860" s="165"/>
      <c r="M860" s="165"/>
      <c r="N860" s="164"/>
      <c r="O860" s="164"/>
      <c r="P860" s="164"/>
      <c r="Q860" s="164"/>
      <c r="R860" s="164"/>
    </row>
    <row r="861" spans="1:18" s="149" customFormat="1">
      <c r="A861" s="135"/>
      <c r="B861" s="20"/>
      <c r="C861" s="121">
        <v>2</v>
      </c>
      <c r="D861" s="121">
        <f>38.08*0.3</f>
        <v>11.423999999999999</v>
      </c>
      <c r="E861" s="121">
        <f>8*0.3</f>
        <v>2.4</v>
      </c>
      <c r="G861" s="432">
        <f t="shared" si="28"/>
        <v>54.835199999999993</v>
      </c>
      <c r="H861" s="516"/>
      <c r="I861" s="164"/>
      <c r="J861" s="164"/>
      <c r="K861" s="165"/>
      <c r="L861" s="165"/>
      <c r="M861" s="165"/>
      <c r="N861" s="164"/>
      <c r="O861" s="164"/>
      <c r="P861" s="164"/>
      <c r="Q861" s="164"/>
      <c r="R861" s="164"/>
    </row>
    <row r="862" spans="1:18" s="149" customFormat="1">
      <c r="A862" s="135"/>
      <c r="B862" s="20"/>
      <c r="C862" s="121">
        <v>1</v>
      </c>
      <c r="D862" s="121">
        <f>9.75*0.3</f>
        <v>2.9249999999999998</v>
      </c>
      <c r="E862" s="121">
        <f>15*0.3</f>
        <v>4.5</v>
      </c>
      <c r="G862" s="500">
        <f>E862*D862*C862</f>
        <v>13.1625</v>
      </c>
      <c r="H862" s="516"/>
      <c r="I862" s="164"/>
      <c r="J862" s="164"/>
      <c r="K862" s="165"/>
      <c r="L862" s="165"/>
      <c r="M862" s="165"/>
      <c r="N862" s="164"/>
      <c r="O862" s="164"/>
      <c r="P862" s="164"/>
      <c r="Q862" s="164"/>
      <c r="R862" s="164"/>
    </row>
    <row r="863" spans="1:18" s="149" customFormat="1">
      <c r="A863" s="135"/>
      <c r="B863" s="20"/>
      <c r="C863" s="121"/>
      <c r="D863" s="121"/>
      <c r="E863" s="121"/>
      <c r="G863" s="432">
        <f>SUM(G853:G862)</f>
        <v>780.02153999999996</v>
      </c>
      <c r="H863" s="516"/>
      <c r="I863" s="164"/>
      <c r="J863" s="164"/>
      <c r="K863" s="165"/>
      <c r="L863" s="165"/>
      <c r="M863" s="165"/>
      <c r="N863" s="164"/>
      <c r="O863" s="164"/>
      <c r="P863" s="164"/>
      <c r="Q863" s="164"/>
      <c r="R863" s="164"/>
    </row>
    <row r="864" spans="1:18" s="149" customFormat="1">
      <c r="A864" s="135"/>
      <c r="B864" s="20"/>
      <c r="C864" s="121"/>
      <c r="D864" s="121"/>
      <c r="E864" s="121"/>
      <c r="G864" s="656">
        <f>G863*10%</f>
        <v>78.002154000000004</v>
      </c>
      <c r="H864" s="516"/>
      <c r="I864" s="164"/>
      <c r="J864" s="164"/>
      <c r="K864" s="165"/>
      <c r="L864" s="165"/>
      <c r="M864" s="165"/>
      <c r="N864" s="164"/>
      <c r="O864" s="164"/>
      <c r="P864" s="164"/>
      <c r="Q864" s="164"/>
      <c r="R864" s="164"/>
    </row>
    <row r="865" spans="1:18" s="149" customFormat="1">
      <c r="A865" s="135"/>
      <c r="E865" s="121"/>
      <c r="G865" s="551">
        <f>G864+G863</f>
        <v>858.02369399999998</v>
      </c>
      <c r="H865" s="20" t="s">
        <v>32</v>
      </c>
      <c r="I865" s="164"/>
      <c r="J865" s="164"/>
      <c r="K865" s="165"/>
      <c r="L865" s="165"/>
      <c r="M865" s="165"/>
      <c r="N865" s="164"/>
      <c r="O865" s="164"/>
      <c r="P865" s="164"/>
      <c r="Q865" s="164"/>
      <c r="R865" s="164"/>
    </row>
    <row r="866" spans="1:18" s="149" customFormat="1" ht="15">
      <c r="A866" s="135"/>
      <c r="E866" s="121"/>
      <c r="G866" s="515"/>
      <c r="H866" s="516"/>
      <c r="I866" s="164"/>
      <c r="J866" s="164"/>
      <c r="K866" s="165"/>
      <c r="L866" s="165"/>
      <c r="M866" s="165"/>
      <c r="N866" s="164"/>
      <c r="O866" s="164"/>
      <c r="P866" s="164"/>
      <c r="Q866" s="164"/>
      <c r="R866" s="164"/>
    </row>
    <row r="867" spans="1:18" s="149" customFormat="1">
      <c r="A867" s="135">
        <v>11</v>
      </c>
      <c r="B867" s="534" t="s">
        <v>1234</v>
      </c>
      <c r="E867" s="121"/>
      <c r="G867" s="524"/>
      <c r="H867" s="516"/>
      <c r="I867" s="164"/>
      <c r="J867" s="164"/>
      <c r="K867" s="165"/>
      <c r="L867" s="165"/>
      <c r="M867" s="165"/>
      <c r="N867" s="164"/>
      <c r="O867" s="164"/>
      <c r="P867" s="164"/>
      <c r="Q867" s="164"/>
      <c r="R867" s="164"/>
    </row>
    <row r="868" spans="1:18" s="149" customFormat="1">
      <c r="A868" s="135"/>
      <c r="B868" s="20" t="s">
        <v>1334</v>
      </c>
      <c r="C868" s="121">
        <v>1</v>
      </c>
      <c r="D868" s="120">
        <v>8.08</v>
      </c>
      <c r="E868" s="120">
        <v>3.39</v>
      </c>
      <c r="F868" s="121"/>
      <c r="G868" s="645">
        <f>E868*D868*C868</f>
        <v>27.391200000000001</v>
      </c>
      <c r="H868" s="36"/>
      <c r="I868" s="164"/>
      <c r="J868" s="164"/>
      <c r="K868" s="165"/>
      <c r="L868" s="165"/>
      <c r="M868" s="165"/>
      <c r="N868" s="164"/>
      <c r="O868" s="164"/>
      <c r="P868" s="164"/>
      <c r="Q868" s="164"/>
      <c r="R868" s="164"/>
    </row>
    <row r="869" spans="1:18" s="149" customFormat="1">
      <c r="A869" s="135"/>
      <c r="B869" s="534"/>
      <c r="E869" s="121"/>
      <c r="G869" s="656">
        <f>G868*10%</f>
        <v>2.7391200000000002</v>
      </c>
      <c r="H869" s="516"/>
      <c r="I869" s="164"/>
      <c r="J869" s="164"/>
      <c r="K869" s="165"/>
      <c r="L869" s="165"/>
      <c r="M869" s="165"/>
      <c r="N869" s="164"/>
      <c r="O869" s="164"/>
      <c r="P869" s="164"/>
      <c r="Q869" s="164"/>
      <c r="R869" s="164"/>
    </row>
    <row r="870" spans="1:18" s="149" customFormat="1">
      <c r="B870" s="20"/>
      <c r="C870" s="121"/>
      <c r="D870" s="120"/>
      <c r="E870" s="120"/>
      <c r="F870" s="121"/>
      <c r="G870" s="551">
        <f>G869+G868</f>
        <v>30.130320000000001</v>
      </c>
      <c r="H870" s="36" t="s">
        <v>32</v>
      </c>
      <c r="I870" s="164"/>
      <c r="J870" s="164"/>
      <c r="K870" s="100"/>
      <c r="L870" s="165"/>
      <c r="M870" s="165"/>
      <c r="N870" s="171"/>
      <c r="O870" s="164"/>
      <c r="P870" s="164"/>
      <c r="Q870" s="164"/>
      <c r="R870" s="164"/>
    </row>
    <row r="871" spans="1:18" s="149" customFormat="1" ht="15">
      <c r="A871" s="135"/>
      <c r="C871" s="121"/>
      <c r="E871" s="121"/>
      <c r="G871" s="515"/>
      <c r="H871" s="516"/>
      <c r="I871" s="164"/>
      <c r="J871" s="164"/>
      <c r="K871" s="100"/>
      <c r="L871" s="165"/>
      <c r="M871" s="165"/>
      <c r="N871" s="171"/>
      <c r="O871" s="164"/>
      <c r="P871" s="164"/>
      <c r="Q871" s="164"/>
      <c r="R871" s="164"/>
    </row>
    <row r="872" spans="1:18" s="149" customFormat="1" ht="15">
      <c r="A872" s="135">
        <v>12</v>
      </c>
      <c r="B872" s="514" t="s">
        <v>1370</v>
      </c>
      <c r="E872" s="121"/>
      <c r="G872" s="498"/>
      <c r="H872" s="430"/>
      <c r="I872" s="517"/>
      <c r="J872" s="165"/>
      <c r="K872" s="100"/>
      <c r="L872" s="165"/>
      <c r="M872" s="165"/>
      <c r="N872" s="536"/>
      <c r="O872" s="505"/>
      <c r="P872" s="164"/>
      <c r="Q872" s="164"/>
      <c r="R872" s="164"/>
    </row>
    <row r="873" spans="1:18" s="149" customFormat="1" ht="15">
      <c r="A873" s="135"/>
      <c r="B873" s="36" t="s">
        <v>1051</v>
      </c>
      <c r="E873" s="121"/>
      <c r="G873" s="498"/>
      <c r="H873" s="430"/>
      <c r="I873" s="517"/>
      <c r="J873" s="165"/>
      <c r="K873" s="100"/>
      <c r="L873" s="165"/>
      <c r="M873" s="165"/>
      <c r="N873" s="536"/>
      <c r="O873" s="505"/>
      <c r="P873" s="164"/>
      <c r="Q873" s="164"/>
      <c r="R873" s="164"/>
    </row>
    <row r="874" spans="1:18" s="149" customFormat="1" ht="15">
      <c r="A874" s="135"/>
      <c r="B874" s="149" t="s">
        <v>1012</v>
      </c>
      <c r="C874" s="121">
        <v>1</v>
      </c>
      <c r="D874" s="120">
        <f>244258.0264/1000</f>
        <v>244.25802640000001</v>
      </c>
      <c r="E874" s="121"/>
      <c r="F874" s="121">
        <f>3.6+0.6</f>
        <v>4.2</v>
      </c>
      <c r="G874" s="406">
        <f t="shared" ref="G874:G897" si="29">F874*D874*C874</f>
        <v>1025.8837108800001</v>
      </c>
      <c r="H874" s="430"/>
      <c r="I874" s="517"/>
      <c r="J874" s="165"/>
      <c r="K874" s="165"/>
      <c r="L874" s="165"/>
      <c r="M874" s="165"/>
      <c r="N874" s="518"/>
      <c r="O874" s="505"/>
      <c r="P874" s="164"/>
      <c r="Q874" s="164"/>
      <c r="R874" s="164"/>
    </row>
    <row r="875" spans="1:18" s="149" customFormat="1" ht="15">
      <c r="A875" s="135"/>
      <c r="C875" s="121">
        <v>4</v>
      </c>
      <c r="D875" s="120">
        <v>7.4</v>
      </c>
      <c r="E875" s="121"/>
      <c r="F875" s="121">
        <v>3.6</v>
      </c>
      <c r="G875" s="406">
        <f t="shared" si="29"/>
        <v>106.56</v>
      </c>
      <c r="H875" s="430"/>
      <c r="I875" s="517"/>
      <c r="J875" s="165"/>
      <c r="K875" s="165"/>
      <c r="L875" s="165"/>
      <c r="M875" s="165"/>
      <c r="N875" s="518"/>
      <c r="O875" s="505"/>
      <c r="P875" s="164"/>
      <c r="Q875" s="164"/>
      <c r="R875" s="164"/>
    </row>
    <row r="876" spans="1:18" s="149" customFormat="1" ht="15">
      <c r="A876" s="135"/>
      <c r="C876" s="121">
        <v>20</v>
      </c>
      <c r="D876" s="120">
        <v>1.4</v>
      </c>
      <c r="E876" s="121"/>
      <c r="F876" s="121">
        <v>3.6</v>
      </c>
      <c r="G876" s="406">
        <f t="shared" si="29"/>
        <v>100.8</v>
      </c>
      <c r="H876" s="430"/>
      <c r="I876" s="517"/>
      <c r="J876" s="165"/>
      <c r="K876" s="165"/>
      <c r="L876" s="165"/>
      <c r="M876" s="165"/>
      <c r="N876" s="518"/>
      <c r="O876" s="505"/>
      <c r="P876" s="164"/>
      <c r="Q876" s="164"/>
      <c r="R876" s="164"/>
    </row>
    <row r="877" spans="1:18" s="149" customFormat="1" ht="15">
      <c r="A877" s="135"/>
      <c r="C877" s="165">
        <v>4</v>
      </c>
      <c r="D877" s="173">
        <v>2.5499999999999998</v>
      </c>
      <c r="E877" s="121"/>
      <c r="F877" s="121">
        <v>3.6</v>
      </c>
      <c r="G877" s="406">
        <f t="shared" si="29"/>
        <v>36.72</v>
      </c>
      <c r="H877" s="430"/>
      <c r="I877" s="517"/>
      <c r="L877" s="165"/>
      <c r="M877" s="165"/>
      <c r="N877" s="518"/>
      <c r="O877" s="505"/>
      <c r="P877" s="164"/>
      <c r="Q877" s="164"/>
      <c r="R877" s="164"/>
    </row>
    <row r="878" spans="1:18" s="149" customFormat="1" ht="15">
      <c r="A878" s="135"/>
      <c r="C878" s="165">
        <v>8</v>
      </c>
      <c r="D878" s="173">
        <v>1.7</v>
      </c>
      <c r="E878" s="121"/>
      <c r="F878" s="121">
        <v>3.6</v>
      </c>
      <c r="G878" s="406">
        <f t="shared" si="29"/>
        <v>48.96</v>
      </c>
      <c r="H878" s="430"/>
      <c r="I878" s="517"/>
      <c r="L878" s="165"/>
      <c r="M878" s="165"/>
      <c r="N878" s="518"/>
      <c r="O878" s="505"/>
      <c r="P878" s="164"/>
      <c r="Q878" s="164"/>
      <c r="R878" s="164"/>
    </row>
    <row r="879" spans="1:18" s="149" customFormat="1" ht="15">
      <c r="A879" s="135"/>
      <c r="C879" s="165">
        <v>1</v>
      </c>
      <c r="D879" s="173">
        <v>5.085</v>
      </c>
      <c r="E879" s="121"/>
      <c r="F879" s="121">
        <v>3.6</v>
      </c>
      <c r="G879" s="406">
        <f t="shared" si="29"/>
        <v>18.306000000000001</v>
      </c>
      <c r="H879" s="430"/>
      <c r="I879" s="517"/>
      <c r="L879" s="165"/>
      <c r="M879" s="165"/>
      <c r="N879" s="518"/>
      <c r="O879" s="505"/>
      <c r="P879" s="164"/>
      <c r="Q879" s="164"/>
      <c r="R879" s="164"/>
    </row>
    <row r="880" spans="1:18" s="149" customFormat="1" ht="15">
      <c r="A880" s="135"/>
      <c r="C880" s="165">
        <v>1</v>
      </c>
      <c r="D880" s="165">
        <v>3.03</v>
      </c>
      <c r="E880" s="121"/>
      <c r="F880" s="121">
        <v>3.6</v>
      </c>
      <c r="G880" s="406">
        <f t="shared" si="29"/>
        <v>10.907999999999999</v>
      </c>
      <c r="H880" s="430"/>
      <c r="I880" s="517"/>
      <c r="L880" s="165"/>
      <c r="M880" s="165"/>
      <c r="N880" s="518"/>
      <c r="O880" s="505"/>
      <c r="P880" s="164"/>
      <c r="Q880" s="164"/>
      <c r="R880" s="164"/>
    </row>
    <row r="881" spans="1:18" s="149" customFormat="1" ht="15">
      <c r="A881" s="135"/>
      <c r="C881" s="165">
        <v>1</v>
      </c>
      <c r="D881" s="173">
        <v>2.77</v>
      </c>
      <c r="E881" s="121"/>
      <c r="F881" s="121">
        <v>3.6</v>
      </c>
      <c r="G881" s="406">
        <f t="shared" si="29"/>
        <v>9.9719999999999995</v>
      </c>
      <c r="H881" s="430"/>
      <c r="I881" s="517"/>
      <c r="L881" s="165"/>
      <c r="M881" s="165"/>
      <c r="N881" s="518"/>
      <c r="O881" s="505"/>
      <c r="P881" s="164"/>
      <c r="Q881" s="164"/>
      <c r="R881" s="164"/>
    </row>
    <row r="882" spans="1:18" s="149" customFormat="1" ht="15">
      <c r="A882" s="135"/>
      <c r="C882" s="165">
        <v>1</v>
      </c>
      <c r="D882" s="165">
        <v>5.7450000000000001</v>
      </c>
      <c r="E882" s="121"/>
      <c r="F882" s="121">
        <v>3.6</v>
      </c>
      <c r="G882" s="406">
        <f t="shared" si="29"/>
        <v>20.682000000000002</v>
      </c>
      <c r="H882" s="430"/>
      <c r="I882" s="517"/>
      <c r="L882" s="165"/>
      <c r="M882" s="165"/>
      <c r="N882" s="518"/>
      <c r="O882" s="505"/>
      <c r="P882" s="164"/>
      <c r="Q882" s="164"/>
      <c r="R882" s="164"/>
    </row>
    <row r="883" spans="1:18" s="149" customFormat="1" ht="15">
      <c r="A883" s="135"/>
      <c r="C883" s="165">
        <v>1</v>
      </c>
      <c r="D883" s="173">
        <v>4.22</v>
      </c>
      <c r="E883" s="121"/>
      <c r="F883" s="121">
        <v>3.6</v>
      </c>
      <c r="G883" s="406">
        <f t="shared" si="29"/>
        <v>15.192</v>
      </c>
      <c r="H883" s="430"/>
      <c r="I883" s="517"/>
      <c r="L883" s="165"/>
      <c r="M883" s="165"/>
      <c r="N883" s="518"/>
      <c r="O883" s="505"/>
      <c r="P883" s="164"/>
      <c r="Q883" s="164"/>
      <c r="R883" s="164"/>
    </row>
    <row r="884" spans="1:18" s="149" customFormat="1" ht="15">
      <c r="A884" s="135"/>
      <c r="C884" s="165">
        <v>1</v>
      </c>
      <c r="D884" s="173">
        <v>2.0299999999999998</v>
      </c>
      <c r="E884" s="121"/>
      <c r="F884" s="121">
        <v>3.6</v>
      </c>
      <c r="G884" s="406">
        <f t="shared" si="29"/>
        <v>7.3079999999999998</v>
      </c>
      <c r="H884" s="430"/>
      <c r="I884" s="517"/>
      <c r="L884" s="165"/>
      <c r="M884" s="165"/>
      <c r="N884" s="518"/>
      <c r="O884" s="505"/>
      <c r="P884" s="164"/>
      <c r="Q884" s="164"/>
      <c r="R884" s="164"/>
    </row>
    <row r="885" spans="1:18" s="149" customFormat="1" ht="15">
      <c r="A885" s="135"/>
      <c r="C885" s="165">
        <v>1</v>
      </c>
      <c r="D885" s="173">
        <v>2.1549999999999998</v>
      </c>
      <c r="E885" s="121"/>
      <c r="F885" s="121">
        <v>3.6</v>
      </c>
      <c r="G885" s="406">
        <f t="shared" si="29"/>
        <v>7.7579999999999991</v>
      </c>
      <c r="H885" s="430"/>
      <c r="I885" s="517"/>
      <c r="L885" s="165"/>
      <c r="M885" s="165"/>
      <c r="N885" s="518"/>
      <c r="O885" s="505"/>
      <c r="P885" s="164"/>
      <c r="Q885" s="164"/>
      <c r="R885" s="164"/>
    </row>
    <row r="886" spans="1:18" s="149" customFormat="1" ht="15">
      <c r="A886" s="135"/>
      <c r="C886" s="165">
        <v>1</v>
      </c>
      <c r="D886" s="165">
        <v>1.77</v>
      </c>
      <c r="E886" s="121"/>
      <c r="F886" s="121">
        <v>3.6</v>
      </c>
      <c r="G886" s="406">
        <f t="shared" si="29"/>
        <v>6.3719999999999999</v>
      </c>
      <c r="H886" s="430"/>
      <c r="I886" s="517"/>
      <c r="L886" s="165"/>
      <c r="M886" s="165"/>
      <c r="N886" s="518"/>
      <c r="O886" s="505"/>
      <c r="P886" s="164"/>
      <c r="Q886" s="164"/>
      <c r="R886" s="164"/>
    </row>
    <row r="887" spans="1:18" s="149" customFormat="1" ht="15">
      <c r="A887" s="135"/>
      <c r="C887" s="165">
        <v>1</v>
      </c>
      <c r="D887" s="165">
        <v>26.87</v>
      </c>
      <c r="E887" s="121"/>
      <c r="F887" s="121">
        <v>3.6</v>
      </c>
      <c r="G887" s="406">
        <f t="shared" si="29"/>
        <v>96.731999999999999</v>
      </c>
      <c r="H887" s="430"/>
      <c r="I887" s="517"/>
      <c r="L887" s="165"/>
      <c r="M887" s="165"/>
      <c r="N887" s="518"/>
      <c r="O887" s="505"/>
      <c r="P887" s="164"/>
      <c r="Q887" s="164"/>
      <c r="R887" s="164"/>
    </row>
    <row r="888" spans="1:18" s="149" customFormat="1" ht="15">
      <c r="A888" s="135"/>
      <c r="C888" s="165">
        <v>1</v>
      </c>
      <c r="D888" s="173">
        <v>5.085</v>
      </c>
      <c r="E888" s="121"/>
      <c r="F888" s="121">
        <v>3.6</v>
      </c>
      <c r="G888" s="406">
        <f t="shared" si="29"/>
        <v>18.306000000000001</v>
      </c>
      <c r="H888" s="430"/>
      <c r="I888" s="517"/>
      <c r="L888" s="165"/>
      <c r="M888" s="165"/>
      <c r="N888" s="518"/>
      <c r="O888" s="505"/>
      <c r="P888" s="164"/>
      <c r="Q888" s="164"/>
      <c r="R888" s="164"/>
    </row>
    <row r="889" spans="1:18" s="149" customFormat="1" ht="15">
      <c r="A889" s="135"/>
      <c r="C889" s="165">
        <v>4</v>
      </c>
      <c r="D889" s="173">
        <v>10.93</v>
      </c>
      <c r="E889" s="121"/>
      <c r="F889" s="121">
        <v>3.6</v>
      </c>
      <c r="G889" s="406">
        <f t="shared" si="29"/>
        <v>157.392</v>
      </c>
      <c r="H889" s="430"/>
      <c r="I889" s="517"/>
      <c r="L889" s="165"/>
      <c r="M889" s="165"/>
      <c r="N889" s="518"/>
      <c r="O889" s="505"/>
      <c r="P889" s="164"/>
      <c r="Q889" s="164"/>
      <c r="R889" s="164"/>
    </row>
    <row r="890" spans="1:18" s="149" customFormat="1" ht="15">
      <c r="A890" s="135"/>
      <c r="C890" s="165">
        <v>2</v>
      </c>
      <c r="D890" s="173">
        <v>10.93</v>
      </c>
      <c r="E890" s="121"/>
      <c r="F890" s="121">
        <v>4.2</v>
      </c>
      <c r="G890" s="406">
        <f t="shared" si="29"/>
        <v>91.811999999999998</v>
      </c>
      <c r="H890" s="430"/>
      <c r="I890" s="517"/>
      <c r="L890" s="165"/>
      <c r="M890" s="165"/>
      <c r="N890" s="518"/>
      <c r="O890" s="505"/>
      <c r="P890" s="164"/>
      <c r="Q890" s="164"/>
      <c r="R890" s="164"/>
    </row>
    <row r="891" spans="1:18" s="149" customFormat="1" ht="15">
      <c r="A891" s="135"/>
      <c r="C891" s="165">
        <v>4</v>
      </c>
      <c r="D891" s="165">
        <v>5.5</v>
      </c>
      <c r="E891" s="121"/>
      <c r="F891" s="121">
        <v>3.6</v>
      </c>
      <c r="G891" s="406">
        <f t="shared" si="29"/>
        <v>79.2</v>
      </c>
      <c r="H891" s="430"/>
      <c r="I891" s="517"/>
      <c r="L891" s="165"/>
      <c r="M891" s="165"/>
      <c r="N891" s="518"/>
      <c r="O891" s="505"/>
      <c r="P891" s="164"/>
      <c r="Q891" s="164"/>
      <c r="R891" s="164"/>
    </row>
    <row r="892" spans="1:18" s="149" customFormat="1" ht="15">
      <c r="A892" s="135"/>
      <c r="C892" s="165">
        <v>1</v>
      </c>
      <c r="D892" s="173">
        <v>2.8</v>
      </c>
      <c r="E892" s="121"/>
      <c r="F892" s="121">
        <v>3.6</v>
      </c>
      <c r="G892" s="406">
        <f t="shared" si="29"/>
        <v>10.08</v>
      </c>
      <c r="H892" s="430"/>
      <c r="I892" s="517"/>
      <c r="L892" s="165"/>
      <c r="M892" s="165"/>
      <c r="N892" s="518"/>
      <c r="O892" s="505"/>
      <c r="P892" s="164"/>
      <c r="Q892" s="164"/>
      <c r="R892" s="164"/>
    </row>
    <row r="893" spans="1:18" s="149" customFormat="1" ht="15">
      <c r="A893" s="135"/>
      <c r="C893" s="165">
        <v>2</v>
      </c>
      <c r="D893" s="173">
        <v>15.13</v>
      </c>
      <c r="E893" s="121"/>
      <c r="F893" s="121">
        <v>3.6</v>
      </c>
      <c r="G893" s="406">
        <f t="shared" si="29"/>
        <v>108.93600000000001</v>
      </c>
      <c r="H893" s="430"/>
      <c r="I893" s="517"/>
      <c r="L893" s="165"/>
      <c r="M893" s="165"/>
      <c r="N893" s="518"/>
      <c r="O893" s="505"/>
      <c r="P893" s="164"/>
      <c r="Q893" s="164"/>
      <c r="R893" s="164"/>
    </row>
    <row r="894" spans="1:18" s="149" customFormat="1" ht="15">
      <c r="A894" s="135"/>
      <c r="C894" s="165">
        <v>2</v>
      </c>
      <c r="D894" s="173">
        <v>2.97</v>
      </c>
      <c r="E894" s="121"/>
      <c r="F894" s="121">
        <v>3.6</v>
      </c>
      <c r="G894" s="406">
        <f t="shared" si="29"/>
        <v>21.384</v>
      </c>
      <c r="H894" s="430"/>
      <c r="I894" s="517"/>
      <c r="J894" s="165"/>
      <c r="K894" s="165"/>
      <c r="L894" s="165"/>
      <c r="M894" s="165"/>
      <c r="N894" s="518"/>
      <c r="O894" s="505"/>
      <c r="P894" s="164"/>
      <c r="Q894" s="164"/>
      <c r="R894" s="164"/>
    </row>
    <row r="895" spans="1:18" s="149" customFormat="1" ht="15">
      <c r="A895" s="135"/>
      <c r="C895" s="165">
        <v>1</v>
      </c>
      <c r="D895" s="173">
        <v>5</v>
      </c>
      <c r="E895" s="121"/>
      <c r="F895" s="121">
        <v>3.6</v>
      </c>
      <c r="G895" s="406">
        <f t="shared" si="29"/>
        <v>18</v>
      </c>
      <c r="H895" s="430"/>
      <c r="I895" s="517"/>
      <c r="J895" s="165"/>
      <c r="K895" s="165"/>
      <c r="L895" s="165"/>
      <c r="M895" s="165"/>
      <c r="N895" s="518"/>
      <c r="O895" s="505"/>
      <c r="P895" s="164"/>
      <c r="Q895" s="164"/>
      <c r="R895" s="164"/>
    </row>
    <row r="896" spans="1:18" s="149" customFormat="1" ht="15">
      <c r="A896" s="135"/>
      <c r="C896" s="165">
        <v>1</v>
      </c>
      <c r="D896" s="173">
        <v>3.7</v>
      </c>
      <c r="E896" s="121"/>
      <c r="F896" s="121">
        <v>3.6</v>
      </c>
      <c r="G896" s="406">
        <f t="shared" si="29"/>
        <v>13.32</v>
      </c>
      <c r="H896" s="430"/>
      <c r="I896" s="517"/>
      <c r="J896" s="165"/>
      <c r="K896" s="165"/>
      <c r="L896" s="165"/>
      <c r="M896" s="165"/>
      <c r="N896" s="518"/>
      <c r="O896" s="505"/>
      <c r="P896" s="164"/>
      <c r="Q896" s="164"/>
      <c r="R896" s="164"/>
    </row>
    <row r="897" spans="1:18" s="149" customFormat="1" ht="15">
      <c r="A897" s="135"/>
      <c r="B897" s="20" t="s">
        <v>1355</v>
      </c>
      <c r="C897" s="165">
        <f>48*2</f>
        <v>96</v>
      </c>
      <c r="D897" s="173">
        <v>0.3</v>
      </c>
      <c r="E897" s="121"/>
      <c r="F897" s="121">
        <v>1.35</v>
      </c>
      <c r="G897" s="406">
        <f t="shared" si="29"/>
        <v>38.880000000000003</v>
      </c>
      <c r="H897" s="430"/>
      <c r="I897" s="517"/>
      <c r="J897" s="165"/>
      <c r="K897" s="165"/>
      <c r="L897" s="165"/>
      <c r="M897" s="165"/>
      <c r="N897" s="518"/>
      <c r="O897" s="505"/>
      <c r="P897" s="164"/>
      <c r="Q897" s="164"/>
      <c r="R897" s="164"/>
    </row>
    <row r="898" spans="1:18" s="149" customFormat="1" ht="15">
      <c r="A898" s="135"/>
      <c r="C898" s="186"/>
      <c r="D898" s="186"/>
      <c r="E898" s="186"/>
      <c r="F898" s="186"/>
      <c r="G898" s="537">
        <f>SUM(G874:G897)</f>
        <v>2069.4637108799998</v>
      </c>
      <c r="H898" s="430"/>
      <c r="I898" s="517"/>
      <c r="J898" s="184">
        <v>0.3</v>
      </c>
      <c r="K898" s="184">
        <v>0.15</v>
      </c>
      <c r="L898" s="184">
        <f>4.5*0.3</f>
        <v>1.3499999999999999</v>
      </c>
      <c r="M898" s="165"/>
      <c r="N898" s="173"/>
      <c r="O898" s="505"/>
      <c r="P898" s="164"/>
      <c r="Q898" s="164"/>
      <c r="R898" s="164"/>
    </row>
    <row r="899" spans="1:18" s="149" customFormat="1" ht="15">
      <c r="A899" s="135"/>
      <c r="C899" s="186"/>
      <c r="D899" s="186"/>
      <c r="E899" s="186"/>
      <c r="F899" s="186"/>
      <c r="G899" s="538"/>
      <c r="H899" s="430"/>
      <c r="I899" s="517"/>
      <c r="K899" s="121"/>
      <c r="L899" s="173"/>
      <c r="M899" s="165"/>
      <c r="N899" s="173"/>
      <c r="O899" s="505"/>
      <c r="P899" s="164"/>
      <c r="Q899" s="164"/>
      <c r="R899" s="164"/>
    </row>
    <row r="900" spans="1:18" s="149" customFormat="1" ht="15">
      <c r="A900" s="135"/>
      <c r="B900" s="215" t="s">
        <v>1021</v>
      </c>
      <c r="C900" s="186"/>
      <c r="D900" s="186"/>
      <c r="E900" s="186"/>
      <c r="F900" s="186"/>
      <c r="G900" s="538"/>
      <c r="H900" s="430"/>
      <c r="I900" s="517"/>
      <c r="K900" s="121"/>
      <c r="L900" s="173"/>
      <c r="M900" s="165"/>
      <c r="N900" s="173"/>
      <c r="O900" s="505"/>
      <c r="P900" s="164"/>
      <c r="Q900" s="164"/>
      <c r="R900" s="164"/>
    </row>
    <row r="901" spans="1:18" s="149" customFormat="1" ht="15">
      <c r="A901" s="135"/>
      <c r="B901" s="149" t="s">
        <v>1357</v>
      </c>
      <c r="C901" s="55">
        <v>16</v>
      </c>
      <c r="D901" s="184">
        <v>1.05</v>
      </c>
      <c r="E901" s="184"/>
      <c r="F901" s="184">
        <v>2.1</v>
      </c>
      <c r="G901" s="548">
        <f t="shared" ref="G901:G908" si="30">F901*D901*C901</f>
        <v>35.28</v>
      </c>
      <c r="H901" s="430"/>
      <c r="I901" s="517"/>
      <c r="K901" s="121"/>
      <c r="L901" s="173"/>
      <c r="M901" s="165"/>
      <c r="N901" s="173"/>
      <c r="O901" s="505"/>
      <c r="P901" s="164"/>
      <c r="Q901" s="164"/>
      <c r="R901" s="164"/>
    </row>
    <row r="902" spans="1:18" s="149" customFormat="1" ht="15">
      <c r="A902" s="135"/>
      <c r="B902" s="149" t="s">
        <v>1358</v>
      </c>
      <c r="C902" s="55">
        <v>6</v>
      </c>
      <c r="D902" s="184">
        <v>0.9</v>
      </c>
      <c r="E902" s="184"/>
      <c r="F902" s="184">
        <v>2.1</v>
      </c>
      <c r="G902" s="548">
        <f t="shared" si="30"/>
        <v>11.34</v>
      </c>
      <c r="H902" s="430"/>
      <c r="I902" s="517"/>
      <c r="K902" s="121"/>
      <c r="L902" s="173"/>
      <c r="M902" s="165"/>
      <c r="N902" s="173"/>
      <c r="O902" s="505"/>
      <c r="P902" s="164"/>
      <c r="Q902" s="164"/>
      <c r="R902" s="164"/>
    </row>
    <row r="903" spans="1:18" s="149" customFormat="1" ht="15">
      <c r="A903" s="135"/>
      <c r="B903" s="20" t="s">
        <v>1358</v>
      </c>
      <c r="C903" s="55">
        <v>1</v>
      </c>
      <c r="D903" s="184">
        <v>0.9</v>
      </c>
      <c r="E903" s="184"/>
      <c r="F903" s="184">
        <v>2.1</v>
      </c>
      <c r="G903" s="548">
        <f t="shared" si="30"/>
        <v>1.8900000000000001</v>
      </c>
      <c r="H903" s="430"/>
      <c r="I903" s="517"/>
      <c r="K903" s="4"/>
      <c r="L903" s="102"/>
      <c r="M903" s="100"/>
      <c r="N903" s="173"/>
      <c r="O903" s="505"/>
      <c r="P903" s="164"/>
      <c r="Q903" s="164"/>
      <c r="R903" s="164"/>
    </row>
    <row r="904" spans="1:18" s="149" customFormat="1" ht="15">
      <c r="A904" s="135"/>
      <c r="B904" s="149" t="s">
        <v>1359</v>
      </c>
      <c r="C904" s="55">
        <v>33</v>
      </c>
      <c r="D904" s="184">
        <v>0.75</v>
      </c>
      <c r="E904" s="184"/>
      <c r="F904" s="184">
        <v>2.1</v>
      </c>
      <c r="G904" s="548">
        <f t="shared" si="30"/>
        <v>51.975000000000009</v>
      </c>
      <c r="H904" s="430"/>
      <c r="I904" s="517"/>
      <c r="K904" s="4"/>
      <c r="L904" s="102"/>
      <c r="M904" s="100"/>
      <c r="N904" s="173"/>
      <c r="O904" s="505"/>
      <c r="P904" s="164"/>
      <c r="Q904" s="164"/>
      <c r="R904" s="164"/>
    </row>
    <row r="905" spans="1:18" s="149" customFormat="1" ht="15">
      <c r="A905" s="135"/>
      <c r="B905" s="149" t="s">
        <v>1360</v>
      </c>
      <c r="C905" s="55">
        <v>3</v>
      </c>
      <c r="D905" s="184">
        <v>1.5</v>
      </c>
      <c r="E905" s="184"/>
      <c r="F905" s="184">
        <v>2.1</v>
      </c>
      <c r="G905" s="548">
        <f t="shared" si="30"/>
        <v>9.4500000000000011</v>
      </c>
      <c r="H905" s="430"/>
      <c r="I905" s="517"/>
      <c r="K905" s="4"/>
      <c r="L905" s="102"/>
      <c r="M905" s="100"/>
      <c r="N905" s="173"/>
      <c r="O905" s="505"/>
      <c r="P905" s="164"/>
      <c r="Q905" s="164"/>
      <c r="R905" s="164"/>
    </row>
    <row r="906" spans="1:18" s="149" customFormat="1" ht="15">
      <c r="A906" s="135"/>
      <c r="B906" s="149" t="s">
        <v>1224</v>
      </c>
      <c r="C906" s="55">
        <v>41</v>
      </c>
      <c r="D906" s="184">
        <v>1.2</v>
      </c>
      <c r="E906" s="184"/>
      <c r="F906" s="184">
        <v>1.35</v>
      </c>
      <c r="G906" s="548">
        <f t="shared" si="30"/>
        <v>66.42</v>
      </c>
      <c r="H906" s="430"/>
      <c r="I906" s="517"/>
      <c r="J906" s="165"/>
      <c r="K906" s="165"/>
      <c r="L906" s="165"/>
      <c r="M906" s="165"/>
      <c r="N906" s="518"/>
      <c r="O906" s="505"/>
      <c r="P906" s="164"/>
      <c r="Q906" s="164"/>
      <c r="R906" s="164"/>
    </row>
    <row r="907" spans="1:18" s="149" customFormat="1" ht="15">
      <c r="A907" s="135"/>
      <c r="B907" s="224" t="s">
        <v>1361</v>
      </c>
      <c r="C907" s="55">
        <v>6</v>
      </c>
      <c r="D907" s="184">
        <v>1.8</v>
      </c>
      <c r="E907" s="184"/>
      <c r="F907" s="184">
        <v>1.35</v>
      </c>
      <c r="G907" s="548">
        <f t="shared" si="30"/>
        <v>14.580000000000002</v>
      </c>
      <c r="H907" s="430"/>
      <c r="I907" s="517"/>
      <c r="J907" s="165"/>
      <c r="K907" s="165"/>
      <c r="L907" s="165"/>
      <c r="M907" s="165"/>
      <c r="N907" s="518"/>
      <c r="O907" s="505"/>
      <c r="P907" s="164"/>
      <c r="Q907" s="164"/>
      <c r="R907" s="164"/>
    </row>
    <row r="908" spans="1:18" s="149" customFormat="1" ht="15">
      <c r="A908" s="135"/>
      <c r="B908" s="20" t="s">
        <v>1362</v>
      </c>
      <c r="C908" s="55">
        <v>33</v>
      </c>
      <c r="D908" s="184">
        <v>0.6</v>
      </c>
      <c r="E908" s="184"/>
      <c r="F908" s="184">
        <v>0.6</v>
      </c>
      <c r="G908" s="548">
        <f t="shared" si="30"/>
        <v>11.879999999999999</v>
      </c>
      <c r="H908" s="430"/>
      <c r="I908" s="517"/>
      <c r="J908" s="165"/>
      <c r="K908" s="165"/>
      <c r="L908" s="165"/>
      <c r="M908" s="165"/>
      <c r="N908" s="518"/>
      <c r="O908" s="505"/>
      <c r="P908" s="164"/>
      <c r="Q908" s="164"/>
      <c r="R908" s="164"/>
    </row>
    <row r="909" spans="1:18" s="149" customFormat="1" ht="15">
      <c r="A909" s="135"/>
      <c r="C909" s="186"/>
      <c r="D909" s="186"/>
      <c r="E909" s="186"/>
      <c r="F909" s="186"/>
      <c r="G909" s="537">
        <f>SUM(G901:G908)</f>
        <v>202.81500000000003</v>
      </c>
      <c r="H909" s="430"/>
      <c r="I909" s="517"/>
      <c r="J909" s="165"/>
      <c r="K909" s="165"/>
      <c r="L909" s="165"/>
      <c r="M909" s="165"/>
      <c r="N909" s="518"/>
      <c r="O909" s="505"/>
      <c r="P909" s="164"/>
      <c r="Q909" s="164"/>
      <c r="R909" s="164"/>
    </row>
    <row r="910" spans="1:18" s="149" customFormat="1" ht="15">
      <c r="A910" s="135"/>
      <c r="C910" s="186"/>
      <c r="D910" s="186"/>
      <c r="E910" s="186"/>
      <c r="F910" s="186"/>
      <c r="G910" s="548">
        <f>G909/2</f>
        <v>101.40750000000001</v>
      </c>
      <c r="H910" s="430"/>
      <c r="I910" s="517"/>
      <c r="J910" s="165"/>
      <c r="K910" s="165"/>
      <c r="L910" s="165"/>
      <c r="M910" s="165"/>
      <c r="N910" s="518"/>
      <c r="O910" s="505"/>
      <c r="P910" s="164"/>
      <c r="Q910" s="164"/>
      <c r="R910" s="164"/>
    </row>
    <row r="911" spans="1:18" s="149" customFormat="1" ht="15">
      <c r="A911" s="135"/>
      <c r="C911" s="186"/>
      <c r="D911" s="186"/>
      <c r="E911" s="186"/>
      <c r="F911" s="186"/>
      <c r="G911" s="548"/>
      <c r="H911" s="430"/>
      <c r="I911" s="517"/>
      <c r="J911" s="165"/>
      <c r="K911" s="165"/>
      <c r="L911" s="165"/>
      <c r="M911" s="165"/>
      <c r="N911" s="518"/>
      <c r="O911" s="505"/>
      <c r="P911" s="164"/>
      <c r="Q911" s="164"/>
      <c r="R911" s="164"/>
    </row>
    <row r="912" spans="1:18" s="149" customFormat="1" ht="15">
      <c r="A912" s="135"/>
      <c r="C912" s="186"/>
      <c r="D912" s="186"/>
      <c r="E912" s="186"/>
      <c r="F912" s="186"/>
      <c r="G912" s="548">
        <f>G898-G910</f>
        <v>1968.0562108799998</v>
      </c>
      <c r="H912" s="430"/>
      <c r="I912" s="517"/>
      <c r="J912" s="165"/>
      <c r="K912" s="165"/>
      <c r="L912" s="165"/>
      <c r="M912" s="165"/>
      <c r="N912" s="518"/>
      <c r="O912" s="505"/>
      <c r="P912" s="164"/>
      <c r="Q912" s="164"/>
      <c r="R912" s="164"/>
    </row>
    <row r="913" spans="1:18" s="149" customFormat="1" ht="15">
      <c r="A913" s="135"/>
      <c r="C913" s="186"/>
      <c r="D913" s="186"/>
      <c r="E913" s="186"/>
      <c r="F913" s="186"/>
      <c r="G913" s="656">
        <f>G912*10%</f>
        <v>196.80562108799998</v>
      </c>
      <c r="H913" s="430"/>
      <c r="I913" s="517"/>
      <c r="J913" s="165"/>
      <c r="K913" s="165"/>
      <c r="L913" s="165"/>
      <c r="M913" s="165"/>
      <c r="N913" s="518"/>
      <c r="O913" s="505"/>
      <c r="P913" s="164"/>
      <c r="Q913" s="164"/>
      <c r="R913" s="164"/>
    </row>
    <row r="914" spans="1:18" s="149" customFormat="1" ht="15">
      <c r="A914" s="135"/>
      <c r="C914" s="186"/>
      <c r="D914" s="186"/>
      <c r="E914" s="186"/>
      <c r="F914" s="113"/>
      <c r="G914" s="551">
        <f>G913+G912</f>
        <v>2164.8618319679999</v>
      </c>
      <c r="H914" s="541" t="s">
        <v>32</v>
      </c>
      <c r="I914" s="517"/>
      <c r="J914" s="165"/>
      <c r="K914" s="165"/>
      <c r="L914" s="165"/>
      <c r="M914" s="165"/>
      <c r="N914" s="518"/>
      <c r="O914" s="505"/>
      <c r="P914" s="164"/>
      <c r="Q914" s="164"/>
      <c r="R914" s="164"/>
    </row>
    <row r="915" spans="1:18" s="149" customFormat="1" ht="15">
      <c r="A915" s="135"/>
      <c r="C915" s="186"/>
      <c r="D915" s="186"/>
      <c r="E915" s="186"/>
      <c r="F915" s="113"/>
      <c r="G915" s="526"/>
      <c r="H915" s="541"/>
      <c r="I915" s="517"/>
      <c r="J915" s="165"/>
      <c r="K915" s="165"/>
      <c r="L915" s="165"/>
      <c r="M915" s="165"/>
      <c r="N915" s="518"/>
      <c r="O915" s="505"/>
      <c r="P915" s="164"/>
      <c r="Q915" s="164"/>
      <c r="R915" s="164"/>
    </row>
    <row r="916" spans="1:18" s="149" customFormat="1" ht="13.5" customHeight="1">
      <c r="A916" s="135"/>
      <c r="B916" s="36" t="s">
        <v>1214</v>
      </c>
      <c r="C916" s="121"/>
      <c r="D916" s="401"/>
      <c r="E916" s="186"/>
      <c r="F916" s="121"/>
      <c r="G916" s="538"/>
      <c r="H916" s="430"/>
      <c r="I916" s="517"/>
      <c r="J916" s="165"/>
      <c r="K916" s="165"/>
      <c r="L916" s="165"/>
      <c r="M916" s="165"/>
      <c r="N916" s="518"/>
      <c r="O916" s="505"/>
      <c r="P916" s="164"/>
      <c r="Q916" s="164"/>
      <c r="R916" s="164"/>
    </row>
    <row r="917" spans="1:18" s="149" customFormat="1" ht="15">
      <c r="A917" s="135"/>
      <c r="B917" s="264"/>
      <c r="C917" s="121">
        <v>1</v>
      </c>
      <c r="D917" s="401">
        <f>254432.8601/1000</f>
        <v>254.4328601</v>
      </c>
      <c r="E917" s="186"/>
      <c r="F917" s="121">
        <v>3.6</v>
      </c>
      <c r="G917" s="539">
        <f>F917*D917*C917</f>
        <v>915.95829635999996</v>
      </c>
      <c r="H917" s="430"/>
      <c r="I917" s="517"/>
      <c r="J917" s="165"/>
      <c r="O917" s="505"/>
      <c r="P917" s="164"/>
      <c r="Q917" s="164"/>
      <c r="R917" s="164"/>
    </row>
    <row r="918" spans="1:18" s="149" customFormat="1" ht="15">
      <c r="A918" s="135"/>
      <c r="B918" s="264"/>
      <c r="C918" s="121">
        <v>4</v>
      </c>
      <c r="D918" s="401">
        <v>7.4</v>
      </c>
      <c r="E918" s="186"/>
      <c r="F918" s="121">
        <v>3.6</v>
      </c>
      <c r="G918" s="539">
        <f>F918*D918*C918</f>
        <v>106.56</v>
      </c>
      <c r="H918" s="430"/>
      <c r="I918" s="517"/>
      <c r="J918" s="165"/>
      <c r="O918" s="505"/>
      <c r="P918" s="164"/>
      <c r="Q918" s="164"/>
      <c r="R918" s="164"/>
    </row>
    <row r="919" spans="1:18" s="149" customFormat="1" ht="15">
      <c r="A919" s="135"/>
      <c r="B919" s="264"/>
      <c r="C919" s="121">
        <v>20</v>
      </c>
      <c r="D919" s="401">
        <v>1.41</v>
      </c>
      <c r="E919" s="186"/>
      <c r="F919" s="121">
        <v>3.6</v>
      </c>
      <c r="G919" s="539">
        <f t="shared" ref="G919:G932" si="31">F919*D919*C919</f>
        <v>101.52</v>
      </c>
      <c r="H919" s="430"/>
      <c r="I919" s="517"/>
      <c r="J919" s="165"/>
      <c r="O919" s="505"/>
      <c r="P919" s="164"/>
      <c r="Q919" s="164"/>
      <c r="R919" s="164"/>
    </row>
    <row r="920" spans="1:18" s="149" customFormat="1" ht="15">
      <c r="A920" s="135"/>
      <c r="B920" s="264"/>
      <c r="C920" s="121">
        <v>4</v>
      </c>
      <c r="D920" s="401">
        <v>2.5550000000000002</v>
      </c>
      <c r="E920" s="186"/>
      <c r="F920" s="121">
        <v>3.6</v>
      </c>
      <c r="G920" s="539">
        <f t="shared" si="31"/>
        <v>36.792000000000002</v>
      </c>
      <c r="H920" s="430"/>
      <c r="I920" s="517"/>
      <c r="J920" s="165"/>
      <c r="O920" s="505"/>
      <c r="P920" s="164"/>
      <c r="Q920" s="164"/>
      <c r="R920" s="164"/>
    </row>
    <row r="921" spans="1:18" s="149" customFormat="1" ht="15">
      <c r="A921" s="135"/>
      <c r="B921" s="264"/>
      <c r="C921" s="121">
        <v>8</v>
      </c>
      <c r="D921" s="401">
        <v>1.7</v>
      </c>
      <c r="E921" s="186"/>
      <c r="F921" s="121">
        <v>3.6</v>
      </c>
      <c r="G921" s="539">
        <f t="shared" si="31"/>
        <v>48.96</v>
      </c>
      <c r="H921" s="430"/>
      <c r="I921" s="517"/>
      <c r="J921" s="165"/>
      <c r="O921" s="505"/>
      <c r="P921" s="164"/>
      <c r="Q921" s="164"/>
      <c r="R921" s="164"/>
    </row>
    <row r="922" spans="1:18" s="149" customFormat="1" ht="15">
      <c r="A922" s="135"/>
      <c r="B922" s="264"/>
      <c r="C922" s="121">
        <v>4</v>
      </c>
      <c r="D922" s="401">
        <v>1.56</v>
      </c>
      <c r="E922" s="186"/>
      <c r="F922" s="121">
        <v>3.6</v>
      </c>
      <c r="G922" s="539">
        <f t="shared" si="31"/>
        <v>22.464000000000002</v>
      </c>
      <c r="H922" s="430"/>
      <c r="I922" s="517"/>
      <c r="J922" s="165"/>
      <c r="O922" s="505"/>
      <c r="P922" s="164"/>
      <c r="Q922" s="164"/>
      <c r="R922" s="164"/>
    </row>
    <row r="923" spans="1:18" s="149" customFormat="1" ht="15">
      <c r="A923" s="135"/>
      <c r="B923" s="264"/>
      <c r="C923" s="121">
        <v>1</v>
      </c>
      <c r="D923" s="401">
        <v>5.9950000000000001</v>
      </c>
      <c r="E923" s="186"/>
      <c r="F923" s="121">
        <v>3.6</v>
      </c>
      <c r="G923" s="539">
        <f t="shared" si="31"/>
        <v>21.582000000000001</v>
      </c>
      <c r="H923" s="430"/>
      <c r="I923" s="517"/>
      <c r="J923" s="165"/>
      <c r="O923" s="505"/>
      <c r="P923" s="164"/>
      <c r="Q923" s="164"/>
      <c r="R923" s="164"/>
    </row>
    <row r="924" spans="1:18" s="149" customFormat="1" ht="15">
      <c r="A924" s="135"/>
      <c r="B924" s="264"/>
      <c r="C924" s="121">
        <v>1</v>
      </c>
      <c r="D924" s="401">
        <v>10.465</v>
      </c>
      <c r="E924" s="186"/>
      <c r="F924" s="121">
        <v>3.6</v>
      </c>
      <c r="G924" s="539">
        <f t="shared" si="31"/>
        <v>37.673999999999999</v>
      </c>
      <c r="H924" s="430"/>
      <c r="I924" s="517"/>
      <c r="J924" s="165"/>
      <c r="O924" s="505"/>
      <c r="P924" s="164"/>
      <c r="Q924" s="164"/>
      <c r="R924" s="164"/>
    </row>
    <row r="925" spans="1:18" s="149" customFormat="1" ht="15">
      <c r="A925" s="135"/>
      <c r="B925" s="264"/>
      <c r="C925" s="121">
        <v>6</v>
      </c>
      <c r="D925" s="401">
        <v>10.935</v>
      </c>
      <c r="E925" s="186"/>
      <c r="F925" s="121">
        <v>3.6</v>
      </c>
      <c r="G925" s="539">
        <f t="shared" si="31"/>
        <v>236.196</v>
      </c>
      <c r="H925" s="430"/>
      <c r="I925" s="517"/>
      <c r="J925" s="165"/>
      <c r="O925" s="505"/>
      <c r="P925" s="164"/>
      <c r="Q925" s="164"/>
      <c r="R925" s="164"/>
    </row>
    <row r="926" spans="1:18" s="149" customFormat="1" ht="15">
      <c r="A926" s="135"/>
      <c r="B926" s="264"/>
      <c r="C926" s="121">
        <v>4</v>
      </c>
      <c r="D926" s="401">
        <v>5.55</v>
      </c>
      <c r="E926" s="186"/>
      <c r="F926" s="121">
        <v>3.6</v>
      </c>
      <c r="G926" s="539">
        <f t="shared" si="31"/>
        <v>79.92</v>
      </c>
      <c r="H926" s="430"/>
      <c r="I926" s="517"/>
      <c r="J926" s="165"/>
      <c r="O926" s="505"/>
      <c r="P926" s="164"/>
      <c r="Q926" s="164"/>
      <c r="R926" s="164"/>
    </row>
    <row r="927" spans="1:18" s="149" customFormat="1" ht="15">
      <c r="A927" s="135"/>
      <c r="B927" s="264"/>
      <c r="C927" s="121">
        <v>2</v>
      </c>
      <c r="D927" s="401">
        <v>5.03</v>
      </c>
      <c r="E927" s="186"/>
      <c r="F927" s="121">
        <v>3.6</v>
      </c>
      <c r="G927" s="539">
        <f t="shared" si="31"/>
        <v>36.216000000000001</v>
      </c>
      <c r="H927" s="430"/>
      <c r="I927" s="517"/>
      <c r="J927" s="165"/>
      <c r="O927" s="505"/>
      <c r="P927" s="164"/>
      <c r="Q927" s="164"/>
      <c r="R927" s="164"/>
    </row>
    <row r="928" spans="1:18" s="149" customFormat="1" ht="15">
      <c r="A928" s="135"/>
      <c r="B928" s="264"/>
      <c r="C928" s="121">
        <v>2</v>
      </c>
      <c r="D928" s="401">
        <v>15.13</v>
      </c>
      <c r="E928" s="186"/>
      <c r="F928" s="121">
        <v>3.6</v>
      </c>
      <c r="G928" s="539">
        <f t="shared" si="31"/>
        <v>108.93600000000001</v>
      </c>
      <c r="H928" s="430"/>
      <c r="I928" s="517"/>
      <c r="J928" s="165"/>
      <c r="O928" s="505"/>
      <c r="P928" s="164"/>
      <c r="Q928" s="164"/>
      <c r="R928" s="164"/>
    </row>
    <row r="929" spans="1:18" s="149" customFormat="1" ht="15">
      <c r="A929" s="135"/>
      <c r="B929" s="264"/>
      <c r="C929" s="121">
        <v>1</v>
      </c>
      <c r="D929" s="401">
        <v>3.7</v>
      </c>
      <c r="E929" s="186"/>
      <c r="F929" s="121">
        <v>3.6</v>
      </c>
      <c r="G929" s="539">
        <f t="shared" si="31"/>
        <v>13.32</v>
      </c>
      <c r="H929" s="430"/>
      <c r="I929" s="517"/>
      <c r="J929" s="165"/>
      <c r="O929" s="505"/>
      <c r="P929" s="164"/>
      <c r="Q929" s="164"/>
      <c r="R929" s="164"/>
    </row>
    <row r="930" spans="1:18" s="149" customFormat="1" ht="15">
      <c r="A930" s="135"/>
      <c r="B930" s="264"/>
      <c r="C930" s="121">
        <v>1</v>
      </c>
      <c r="D930" s="401">
        <v>25.8</v>
      </c>
      <c r="E930" s="186"/>
      <c r="F930" s="121">
        <v>1.2</v>
      </c>
      <c r="G930" s="539">
        <f t="shared" si="31"/>
        <v>30.96</v>
      </c>
      <c r="H930" s="430"/>
      <c r="I930" s="517"/>
      <c r="J930" s="165"/>
      <c r="O930" s="505"/>
      <c r="P930" s="164"/>
      <c r="Q930" s="164"/>
      <c r="R930" s="164"/>
    </row>
    <row r="931" spans="1:18" s="149" customFormat="1" ht="15">
      <c r="A931" s="135"/>
      <c r="B931" s="264"/>
      <c r="C931" s="121">
        <v>1</v>
      </c>
      <c r="D931" s="401">
        <v>24.5</v>
      </c>
      <c r="E931" s="186"/>
      <c r="F931" s="121">
        <v>1.2</v>
      </c>
      <c r="G931" s="539">
        <f t="shared" si="31"/>
        <v>29.4</v>
      </c>
      <c r="H931" s="430"/>
      <c r="I931" s="517"/>
      <c r="J931" s="165"/>
      <c r="O931" s="505"/>
      <c r="P931" s="164"/>
      <c r="Q931" s="164"/>
      <c r="R931" s="164"/>
    </row>
    <row r="932" spans="1:18" s="149" customFormat="1" ht="15">
      <c r="A932" s="135"/>
      <c r="B932" s="20" t="s">
        <v>1374</v>
      </c>
      <c r="C932" s="165">
        <f>48*2</f>
        <v>96</v>
      </c>
      <c r="D932" s="173">
        <v>0.3</v>
      </c>
      <c r="E932" s="121"/>
      <c r="F932" s="121">
        <v>1.35</v>
      </c>
      <c r="G932" s="539">
        <f t="shared" si="31"/>
        <v>38.880000000000003</v>
      </c>
      <c r="H932" s="430"/>
      <c r="I932" s="517"/>
      <c r="J932" s="165"/>
      <c r="O932" s="505"/>
      <c r="P932" s="164"/>
      <c r="Q932" s="164"/>
      <c r="R932" s="164"/>
    </row>
    <row r="933" spans="1:18" s="149" customFormat="1" ht="15">
      <c r="A933" s="135"/>
      <c r="C933" s="186"/>
      <c r="D933" s="186"/>
      <c r="E933" s="186"/>
      <c r="F933" s="186"/>
      <c r="G933" s="537">
        <f>SUM(G917:G932)</f>
        <v>1865.33829636</v>
      </c>
      <c r="H933" s="430"/>
      <c r="I933" s="517"/>
      <c r="J933" s="165"/>
      <c r="K933" s="1251"/>
      <c r="L933" s="1251"/>
      <c r="M933" s="165"/>
      <c r="N933" s="540"/>
      <c r="O933" s="505"/>
      <c r="P933" s="164"/>
      <c r="Q933" s="164"/>
      <c r="R933" s="164"/>
    </row>
    <row r="934" spans="1:18" s="149" customFormat="1" ht="15">
      <c r="A934" s="135"/>
      <c r="C934" s="186"/>
      <c r="D934" s="186"/>
      <c r="E934" s="186"/>
      <c r="F934" s="186"/>
      <c r="G934" s="538"/>
      <c r="H934" s="430"/>
      <c r="I934" s="517"/>
      <c r="J934" s="165">
        <f>48*4</f>
        <v>192</v>
      </c>
      <c r="K934" s="1251"/>
      <c r="L934" s="1251"/>
      <c r="M934" s="165"/>
      <c r="N934" s="540"/>
      <c r="O934" s="505"/>
      <c r="P934" s="164"/>
      <c r="Q934" s="164"/>
      <c r="R934" s="164"/>
    </row>
    <row r="935" spans="1:18" s="149" customFormat="1" ht="15">
      <c r="A935" s="135"/>
      <c r="B935" s="215" t="s">
        <v>1230</v>
      </c>
      <c r="C935" s="186"/>
      <c r="D935" s="186"/>
      <c r="E935" s="186"/>
      <c r="F935" s="186"/>
      <c r="G935" s="538"/>
      <c r="H935" s="430"/>
      <c r="I935" s="517"/>
      <c r="J935" s="165"/>
      <c r="K935" s="1251"/>
      <c r="L935" s="1251"/>
      <c r="M935" s="165"/>
      <c r="N935" s="540"/>
      <c r="O935" s="505"/>
      <c r="P935" s="164"/>
      <c r="Q935" s="164"/>
      <c r="R935" s="164"/>
    </row>
    <row r="936" spans="1:18" s="149" customFormat="1" ht="15">
      <c r="A936" s="135"/>
      <c r="B936" s="149" t="s">
        <v>1357</v>
      </c>
      <c r="C936" s="55">
        <v>17</v>
      </c>
      <c r="D936" s="184">
        <v>1.05</v>
      </c>
      <c r="E936" s="184"/>
      <c r="F936" s="184">
        <v>2.1</v>
      </c>
      <c r="G936" s="548">
        <f t="shared" ref="G936:G941" si="32">F936*D936*C936</f>
        <v>37.484999999999999</v>
      </c>
      <c r="H936" s="430"/>
      <c r="I936" s="517"/>
      <c r="J936" s="165"/>
      <c r="K936" s="165"/>
      <c r="L936" s="165"/>
      <c r="M936" s="165"/>
      <c r="N936" s="540"/>
      <c r="O936" s="505"/>
      <c r="P936" s="164"/>
      <c r="Q936" s="164"/>
      <c r="R936" s="164"/>
    </row>
    <row r="937" spans="1:18" s="149" customFormat="1" ht="15">
      <c r="A937" s="135"/>
      <c r="B937" s="149" t="s">
        <v>1358</v>
      </c>
      <c r="C937" s="55">
        <v>4</v>
      </c>
      <c r="D937" s="184">
        <v>0.9</v>
      </c>
      <c r="E937" s="184"/>
      <c r="F937" s="184">
        <v>2.1</v>
      </c>
      <c r="G937" s="548">
        <f t="shared" si="32"/>
        <v>7.5600000000000005</v>
      </c>
      <c r="H937" s="430"/>
      <c r="I937" s="517"/>
      <c r="J937" s="165"/>
      <c r="K937" s="1251"/>
      <c r="L937" s="1251"/>
      <c r="M937" s="165"/>
      <c r="N937" s="540"/>
      <c r="O937" s="505"/>
      <c r="P937" s="164"/>
      <c r="Q937" s="164"/>
      <c r="R937" s="164"/>
    </row>
    <row r="938" spans="1:18" s="149" customFormat="1" ht="15">
      <c r="A938" s="135"/>
      <c r="B938" s="149" t="s">
        <v>1359</v>
      </c>
      <c r="C938" s="55">
        <v>33</v>
      </c>
      <c r="D938" s="184">
        <v>0.75</v>
      </c>
      <c r="E938" s="184"/>
      <c r="F938" s="184">
        <v>2.1</v>
      </c>
      <c r="G938" s="548">
        <f t="shared" si="32"/>
        <v>51.975000000000009</v>
      </c>
      <c r="H938" s="430"/>
      <c r="I938" s="517"/>
      <c r="J938" s="165"/>
      <c r="K938" s="165"/>
      <c r="L938" s="165"/>
      <c r="M938" s="165"/>
      <c r="N938" s="540"/>
      <c r="O938" s="505"/>
      <c r="P938" s="164"/>
      <c r="Q938" s="164"/>
      <c r="R938" s="164"/>
    </row>
    <row r="939" spans="1:18" s="149" customFormat="1" ht="15">
      <c r="A939" s="135"/>
      <c r="B939" s="149" t="s">
        <v>1224</v>
      </c>
      <c r="C939" s="55">
        <v>40</v>
      </c>
      <c r="D939" s="184">
        <v>1.2</v>
      </c>
      <c r="E939" s="184"/>
      <c r="F939" s="184">
        <v>1.35</v>
      </c>
      <c r="G939" s="548">
        <f t="shared" si="32"/>
        <v>64.800000000000011</v>
      </c>
      <c r="H939" s="430"/>
      <c r="I939" s="517"/>
      <c r="J939" s="165"/>
      <c r="K939" s="165"/>
      <c r="L939" s="165"/>
      <c r="M939" s="165"/>
      <c r="N939" s="540"/>
      <c r="O939" s="505"/>
      <c r="P939" s="164"/>
      <c r="Q939" s="164"/>
      <c r="R939" s="164"/>
    </row>
    <row r="940" spans="1:18" s="149" customFormat="1" ht="15">
      <c r="A940" s="135"/>
      <c r="B940" s="224" t="s">
        <v>1361</v>
      </c>
      <c r="C940" s="55">
        <v>3</v>
      </c>
      <c r="D940" s="184">
        <v>1.8</v>
      </c>
      <c r="E940" s="184"/>
      <c r="F940" s="184">
        <v>1.35</v>
      </c>
      <c r="G940" s="548">
        <f t="shared" si="32"/>
        <v>7.2900000000000009</v>
      </c>
      <c r="H940" s="430"/>
      <c r="I940" s="517"/>
      <c r="J940" s="165"/>
      <c r="K940" s="165"/>
      <c r="L940" s="165"/>
      <c r="M940" s="165"/>
      <c r="N940" s="540"/>
      <c r="O940" s="505"/>
      <c r="P940" s="164"/>
      <c r="Q940" s="164"/>
      <c r="R940" s="164"/>
    </row>
    <row r="941" spans="1:18" s="149" customFormat="1" ht="15">
      <c r="A941" s="135"/>
      <c r="B941" s="20" t="s">
        <v>1362</v>
      </c>
      <c r="C941" s="55">
        <v>33</v>
      </c>
      <c r="D941" s="184">
        <v>0.6</v>
      </c>
      <c r="E941" s="184"/>
      <c r="F941" s="184">
        <v>0.6</v>
      </c>
      <c r="G941" s="592">
        <f t="shared" si="32"/>
        <v>11.879999999999999</v>
      </c>
      <c r="H941" s="430"/>
      <c r="I941" s="517"/>
      <c r="J941" s="165"/>
      <c r="K941" s="165"/>
      <c r="L941" s="165"/>
      <c r="M941" s="165"/>
      <c r="N941" s="540"/>
      <c r="O941" s="505"/>
      <c r="P941" s="164"/>
      <c r="Q941" s="164"/>
      <c r="R941" s="164"/>
    </row>
    <row r="942" spans="1:18" s="164" customFormat="1" ht="15">
      <c r="A942" s="249"/>
      <c r="C942" s="113"/>
      <c r="D942" s="113"/>
      <c r="E942" s="113"/>
      <c r="F942" s="113"/>
      <c r="G942" s="548">
        <f>SUM(G936:G941)</f>
        <v>180.99</v>
      </c>
      <c r="H942" s="166"/>
      <c r="I942" s="517"/>
      <c r="J942" s="100"/>
      <c r="K942" s="1279"/>
      <c r="L942" s="1279"/>
      <c r="M942" s="165"/>
      <c r="N942" s="540"/>
      <c r="O942" s="505"/>
    </row>
    <row r="943" spans="1:18" s="164" customFormat="1" ht="15">
      <c r="A943" s="249"/>
      <c r="C943" s="113"/>
      <c r="D943" s="113"/>
      <c r="E943" s="113"/>
      <c r="F943" s="113"/>
      <c r="G943" s="548">
        <f>G942/2</f>
        <v>90.495000000000005</v>
      </c>
      <c r="H943" s="166"/>
      <c r="I943" s="517"/>
      <c r="J943" s="100"/>
      <c r="K943" s="102"/>
      <c r="L943" s="102"/>
      <c r="M943" s="165"/>
      <c r="N943" s="540"/>
      <c r="O943" s="505"/>
    </row>
    <row r="944" spans="1:18" s="164" customFormat="1" ht="15">
      <c r="A944" s="249"/>
      <c r="C944" s="113"/>
      <c r="D944" s="113"/>
      <c r="E944" s="113"/>
      <c r="F944" s="113"/>
      <c r="G944" s="548"/>
      <c r="H944" s="166"/>
      <c r="I944" s="517"/>
      <c r="J944" s="100"/>
      <c r="K944" s="102"/>
      <c r="L944" s="102"/>
      <c r="M944" s="165"/>
      <c r="N944" s="540"/>
      <c r="O944" s="505"/>
    </row>
    <row r="945" spans="1:18" s="164" customFormat="1" ht="15">
      <c r="A945" s="249"/>
      <c r="C945" s="113"/>
      <c r="D945" s="113"/>
      <c r="E945" s="113"/>
      <c r="F945" s="113"/>
      <c r="G945" s="548">
        <f>G933-G943</f>
        <v>1774.8432963599998</v>
      </c>
      <c r="H945" s="166"/>
      <c r="I945" s="517"/>
      <c r="J945" s="100"/>
      <c r="K945" s="102"/>
      <c r="L945" s="102"/>
      <c r="M945" s="165"/>
      <c r="N945" s="540"/>
      <c r="O945" s="505"/>
    </row>
    <row r="946" spans="1:18" s="164" customFormat="1" ht="15">
      <c r="A946" s="249"/>
      <c r="C946" s="113"/>
      <c r="D946" s="113"/>
      <c r="E946" s="113"/>
      <c r="F946" s="113"/>
      <c r="G946" s="656">
        <f>G945*10%</f>
        <v>177.48432963599998</v>
      </c>
      <c r="H946" s="166"/>
      <c r="I946" s="517"/>
      <c r="J946" s="100"/>
      <c r="K946" s="102"/>
      <c r="L946" s="102"/>
      <c r="M946" s="165"/>
      <c r="N946" s="540"/>
      <c r="O946" s="505"/>
    </row>
    <row r="947" spans="1:18" s="164" customFormat="1" ht="15">
      <c r="A947" s="249"/>
      <c r="C947" s="113"/>
      <c r="D947" s="113"/>
      <c r="E947" s="113"/>
      <c r="F947" s="113"/>
      <c r="G947" s="551">
        <f>G946+G945</f>
        <v>1952.3276259959998</v>
      </c>
      <c r="H947" s="541" t="s">
        <v>32</v>
      </c>
      <c r="I947" s="517"/>
      <c r="J947" s="100"/>
      <c r="K947" s="1279"/>
      <c r="L947" s="1279"/>
      <c r="M947" s="165"/>
      <c r="N947" s="540"/>
      <c r="O947" s="505"/>
    </row>
    <row r="948" spans="1:18" s="164" customFormat="1" ht="15">
      <c r="A948" s="249"/>
      <c r="C948" s="113"/>
      <c r="D948" s="113"/>
      <c r="E948" s="113"/>
      <c r="F948" s="113"/>
      <c r="G948" s="526"/>
      <c r="H948" s="541"/>
      <c r="I948" s="517"/>
      <c r="J948" s="100"/>
      <c r="K948" s="1279"/>
      <c r="L948" s="1279"/>
      <c r="M948" s="165"/>
      <c r="N948" s="540"/>
      <c r="O948" s="505"/>
    </row>
    <row r="949" spans="1:18" s="149" customFormat="1" ht="15">
      <c r="A949" s="135"/>
      <c r="B949" s="20" t="s">
        <v>1164</v>
      </c>
      <c r="C949" s="186">
        <v>1</v>
      </c>
      <c r="D949" s="186">
        <f>D1044</f>
        <v>248.31800000000001</v>
      </c>
      <c r="E949" s="186"/>
      <c r="F949" s="186">
        <v>0.9</v>
      </c>
      <c r="G949" s="539">
        <f>F949*D949*C949</f>
        <v>223.48620000000003</v>
      </c>
      <c r="H949" s="430"/>
      <c r="I949" s="517"/>
      <c r="J949" s="164"/>
      <c r="K949" s="165"/>
      <c r="L949" s="165"/>
      <c r="M949" s="165"/>
      <c r="N949" s="540"/>
      <c r="O949" s="505"/>
      <c r="P949" s="164"/>
      <c r="Q949" s="164"/>
      <c r="R949" s="164"/>
    </row>
    <row r="950" spans="1:18" s="149" customFormat="1" ht="15">
      <c r="A950" s="135"/>
      <c r="B950" s="36" t="s">
        <v>1161</v>
      </c>
      <c r="C950" s="4">
        <v>2</v>
      </c>
      <c r="D950" s="120">
        <f>17063.6433/1000</f>
        <v>17.063643299999999</v>
      </c>
      <c r="E950" s="121"/>
      <c r="F950" s="121">
        <v>2.4</v>
      </c>
      <c r="G950" s="529">
        <f>F950*D950*C950</f>
        <v>81.905487839999992</v>
      </c>
      <c r="H950" s="516"/>
      <c r="I950" s="517"/>
      <c r="J950" s="165"/>
      <c r="K950" s="165"/>
      <c r="L950" s="165"/>
      <c r="M950" s="165"/>
      <c r="N950" s="518"/>
      <c r="O950" s="505"/>
      <c r="P950" s="164"/>
      <c r="Q950" s="164"/>
      <c r="R950" s="164"/>
    </row>
    <row r="951" spans="1:18" s="149" customFormat="1" ht="15">
      <c r="A951" s="135"/>
      <c r="B951" s="36"/>
      <c r="C951" s="4"/>
      <c r="D951" s="120"/>
      <c r="E951" s="121"/>
      <c r="F951" s="121"/>
      <c r="G951" s="522">
        <f>SUM(G949:G950)</f>
        <v>305.39168784000003</v>
      </c>
      <c r="H951" s="516"/>
      <c r="I951" s="517"/>
      <c r="J951" s="165"/>
      <c r="K951" s="165"/>
      <c r="L951" s="165"/>
      <c r="M951" s="165"/>
      <c r="N951" s="518"/>
      <c r="O951" s="505"/>
      <c r="P951" s="164"/>
      <c r="Q951" s="164"/>
      <c r="R951" s="164"/>
    </row>
    <row r="952" spans="1:18" s="149" customFormat="1" ht="15">
      <c r="A952" s="135"/>
      <c r="B952" s="36"/>
      <c r="C952" s="4"/>
      <c r="D952" s="121"/>
      <c r="E952" s="121"/>
      <c r="F952" s="121"/>
      <c r="G952" s="522"/>
      <c r="H952" s="516"/>
      <c r="I952" s="517"/>
      <c r="J952" s="165"/>
      <c r="K952" s="165"/>
      <c r="L952" s="165"/>
      <c r="M952" s="165"/>
      <c r="N952" s="518"/>
      <c r="O952" s="505"/>
      <c r="P952" s="164"/>
      <c r="Q952" s="164"/>
      <c r="R952" s="164"/>
    </row>
    <row r="953" spans="1:18" s="149" customFormat="1" ht="15">
      <c r="A953" s="135"/>
      <c r="B953" s="20" t="s">
        <v>1021</v>
      </c>
      <c r="C953" s="4"/>
      <c r="D953" s="222"/>
      <c r="E953" s="222"/>
      <c r="F953" s="121"/>
      <c r="G953" s="522"/>
      <c r="H953" s="516"/>
      <c r="I953" s="517"/>
      <c r="J953" s="165"/>
      <c r="K953" s="165"/>
      <c r="L953" s="165"/>
      <c r="M953" s="165"/>
      <c r="N953" s="518"/>
      <c r="O953" s="505"/>
      <c r="P953" s="164"/>
      <c r="Q953" s="164"/>
      <c r="R953" s="164"/>
    </row>
    <row r="954" spans="1:18" s="149" customFormat="1" ht="15">
      <c r="A954" s="135"/>
      <c r="B954" s="20" t="s">
        <v>213</v>
      </c>
      <c r="C954" s="121">
        <v>2</v>
      </c>
      <c r="D954" s="120">
        <v>0.9</v>
      </c>
      <c r="E954" s="121"/>
      <c r="F954" s="120">
        <v>2.1</v>
      </c>
      <c r="G954" s="522">
        <f>F954*D954*C954</f>
        <v>3.7800000000000002</v>
      </c>
      <c r="H954" s="516"/>
      <c r="I954" s="517"/>
      <c r="J954" s="165"/>
      <c r="K954" s="165"/>
      <c r="L954" s="165"/>
      <c r="M954" s="165"/>
      <c r="N954" s="518"/>
      <c r="O954" s="505"/>
      <c r="P954" s="164"/>
      <c r="Q954" s="164"/>
      <c r="R954" s="164"/>
    </row>
    <row r="955" spans="1:18" s="149" customFormat="1" ht="15">
      <c r="A955" s="135"/>
      <c r="B955" s="20"/>
      <c r="C955" s="4"/>
      <c r="D955" s="16"/>
      <c r="E955" s="16"/>
      <c r="F955" s="121"/>
      <c r="G955" s="522">
        <f>G954/2</f>
        <v>1.8900000000000001</v>
      </c>
      <c r="H955" s="516"/>
      <c r="I955" s="517"/>
      <c r="J955" s="165"/>
      <c r="K955" s="165"/>
      <c r="L955" s="165"/>
      <c r="M955" s="165"/>
      <c r="N955" s="518"/>
      <c r="O955" s="505"/>
      <c r="P955" s="164"/>
      <c r="Q955" s="164"/>
      <c r="R955" s="164"/>
    </row>
    <row r="956" spans="1:18" s="149" customFormat="1" ht="15">
      <c r="A956" s="135"/>
      <c r="B956" s="20"/>
      <c r="C956" s="4"/>
      <c r="D956" s="16"/>
      <c r="E956" s="16"/>
      <c r="F956" s="121"/>
      <c r="G956" s="522"/>
      <c r="H956" s="516"/>
      <c r="I956" s="517"/>
      <c r="J956" s="165"/>
      <c r="K956" s="165"/>
      <c r="L956" s="165"/>
      <c r="M956" s="165"/>
      <c r="N956" s="518"/>
      <c r="O956" s="505"/>
      <c r="P956" s="164"/>
      <c r="Q956" s="164"/>
      <c r="R956" s="164"/>
    </row>
    <row r="957" spans="1:18" s="149" customFormat="1" ht="15">
      <c r="A957" s="135"/>
      <c r="B957" s="20"/>
      <c r="C957" s="4"/>
      <c r="D957" s="16"/>
      <c r="E957" s="16"/>
      <c r="F957" s="121"/>
      <c r="G957" s="522">
        <f>G951-G955</f>
        <v>303.50168784000005</v>
      </c>
      <c r="H957" s="516"/>
      <c r="I957" s="517"/>
      <c r="J957" s="165"/>
      <c r="K957" s="165"/>
      <c r="L957" s="165"/>
      <c r="M957" s="165"/>
      <c r="N957" s="518"/>
      <c r="O957" s="505"/>
      <c r="P957" s="164"/>
      <c r="Q957" s="164"/>
      <c r="R957" s="164"/>
    </row>
    <row r="958" spans="1:18" s="149" customFormat="1" ht="15">
      <c r="A958" s="135"/>
      <c r="B958" s="20"/>
      <c r="C958" s="4"/>
      <c r="D958" s="16"/>
      <c r="E958" s="16"/>
      <c r="F958" s="121"/>
      <c r="G958" s="656">
        <f>G957*10%</f>
        <v>30.350168784000005</v>
      </c>
      <c r="H958" s="516"/>
      <c r="I958" s="517"/>
      <c r="J958" s="165"/>
      <c r="K958" s="165"/>
      <c r="L958" s="165"/>
      <c r="M958" s="165"/>
      <c r="N958" s="518"/>
      <c r="O958" s="505"/>
      <c r="P958" s="164"/>
      <c r="Q958" s="164"/>
      <c r="R958" s="164"/>
    </row>
    <row r="959" spans="1:18" s="149" customFormat="1" ht="15">
      <c r="A959" s="135"/>
      <c r="B959" s="20"/>
      <c r="C959" s="4"/>
      <c r="D959" s="16"/>
      <c r="E959" s="102"/>
      <c r="F959" s="165"/>
      <c r="G959" s="551">
        <f>G958+G957</f>
        <v>333.85185662400005</v>
      </c>
      <c r="H959" s="541" t="s">
        <v>32</v>
      </c>
      <c r="I959" s="517"/>
      <c r="J959" s="165"/>
      <c r="K959" s="165"/>
      <c r="L959" s="165"/>
      <c r="M959" s="165"/>
      <c r="N959" s="518"/>
      <c r="O959" s="505"/>
      <c r="P959" s="164"/>
      <c r="Q959" s="164"/>
      <c r="R959" s="164"/>
    </row>
    <row r="960" spans="1:18" s="149" customFormat="1" ht="15">
      <c r="A960" s="135"/>
      <c r="E960" s="121"/>
      <c r="G960" s="525"/>
      <c r="H960" s="516"/>
      <c r="I960" s="517"/>
      <c r="J960" s="165"/>
      <c r="K960" s="165"/>
      <c r="L960" s="165"/>
      <c r="M960" s="165"/>
      <c r="N960" s="518"/>
      <c r="O960" s="505"/>
      <c r="P960" s="164"/>
      <c r="Q960" s="164"/>
      <c r="R960" s="164"/>
    </row>
    <row r="961" spans="1:18" s="149" customFormat="1" ht="15">
      <c r="A961" s="135">
        <v>13</v>
      </c>
      <c r="B961" s="514" t="s">
        <v>1369</v>
      </c>
      <c r="D961" s="4"/>
      <c r="E961" s="121"/>
      <c r="G961" s="515"/>
      <c r="H961" s="516"/>
      <c r="I961" s="517"/>
      <c r="J961" s="165"/>
      <c r="K961" s="165"/>
      <c r="L961" s="165"/>
      <c r="M961" s="165"/>
      <c r="N961" s="518"/>
      <c r="O961" s="505"/>
      <c r="P961" s="164"/>
      <c r="Q961" s="164"/>
      <c r="R961" s="164"/>
    </row>
    <row r="962" spans="1:18" s="149" customFormat="1" ht="15">
      <c r="A962" s="135"/>
      <c r="B962" s="36" t="s">
        <v>1051</v>
      </c>
      <c r="E962" s="121"/>
      <c r="G962" s="498"/>
      <c r="H962" s="430"/>
      <c r="I962" s="517"/>
      <c r="J962" s="165"/>
      <c r="K962" s="165"/>
      <c r="L962" s="165"/>
      <c r="M962" s="165"/>
      <c r="N962" s="518"/>
      <c r="O962" s="505"/>
      <c r="P962" s="164"/>
      <c r="Q962" s="164"/>
      <c r="R962" s="164"/>
    </row>
    <row r="963" spans="1:18" s="149" customFormat="1" ht="15">
      <c r="A963" s="135"/>
      <c r="B963" s="149" t="s">
        <v>1012</v>
      </c>
      <c r="C963" s="121">
        <v>4</v>
      </c>
      <c r="D963" s="120">
        <f>24668.3564/1000</f>
        <v>24.6683564</v>
      </c>
      <c r="E963" s="121"/>
      <c r="F963" s="121">
        <v>3.6</v>
      </c>
      <c r="G963" s="406">
        <f t="shared" ref="G963:G988" si="33">F963*D963*C963</f>
        <v>355.22433216000002</v>
      </c>
      <c r="H963" s="430"/>
      <c r="I963" s="517"/>
      <c r="J963" s="165"/>
      <c r="K963" s="165"/>
      <c r="L963" s="165"/>
      <c r="M963" s="165"/>
      <c r="N963" s="518"/>
      <c r="O963" s="505"/>
      <c r="P963" s="164"/>
      <c r="Q963" s="164"/>
      <c r="R963" s="164"/>
    </row>
    <row r="964" spans="1:18" s="149" customFormat="1" ht="15">
      <c r="A964" s="135"/>
      <c r="C964" s="121">
        <v>4</v>
      </c>
      <c r="D964" s="120">
        <v>7.4</v>
      </c>
      <c r="E964" s="121"/>
      <c r="F964" s="121">
        <v>3.6</v>
      </c>
      <c r="G964" s="406">
        <f t="shared" si="33"/>
        <v>106.56</v>
      </c>
      <c r="H964" s="430"/>
      <c r="I964" s="517"/>
      <c r="J964" s="165"/>
      <c r="K964" s="165"/>
      <c r="L964" s="165"/>
      <c r="M964" s="165"/>
      <c r="N964" s="518"/>
      <c r="O964" s="505"/>
      <c r="P964" s="164"/>
      <c r="Q964" s="164"/>
      <c r="R964" s="164"/>
    </row>
    <row r="965" spans="1:18" s="149" customFormat="1" ht="15">
      <c r="A965" s="135"/>
      <c r="C965" s="121">
        <v>20</v>
      </c>
      <c r="D965" s="120">
        <v>1.4</v>
      </c>
      <c r="E965" s="121"/>
      <c r="F965" s="121">
        <v>3.6</v>
      </c>
      <c r="G965" s="406">
        <f t="shared" si="33"/>
        <v>100.8</v>
      </c>
      <c r="H965" s="430"/>
      <c r="I965" s="517"/>
      <c r="J965" s="165"/>
      <c r="K965" s="165"/>
      <c r="L965" s="165"/>
      <c r="M965" s="165"/>
      <c r="N965" s="518"/>
      <c r="O965" s="505"/>
      <c r="P965" s="164"/>
      <c r="Q965" s="164"/>
      <c r="R965" s="164"/>
    </row>
    <row r="966" spans="1:18" s="149" customFormat="1" ht="15">
      <c r="A966" s="135"/>
      <c r="C966" s="165">
        <v>4</v>
      </c>
      <c r="D966" s="173">
        <v>2.5499999999999998</v>
      </c>
      <c r="E966" s="121"/>
      <c r="F966" s="121">
        <v>3.6</v>
      </c>
      <c r="G966" s="406">
        <f t="shared" si="33"/>
        <v>36.72</v>
      </c>
      <c r="H966" s="430"/>
      <c r="I966" s="517"/>
      <c r="J966" s="165"/>
      <c r="K966" s="165"/>
      <c r="L966" s="165"/>
      <c r="M966" s="165"/>
      <c r="N966" s="518"/>
      <c r="O966" s="505"/>
      <c r="P966" s="164"/>
      <c r="Q966" s="164"/>
      <c r="R966" s="164"/>
    </row>
    <row r="967" spans="1:18" s="149" customFormat="1" ht="15">
      <c r="A967" s="135"/>
      <c r="C967" s="165">
        <v>8</v>
      </c>
      <c r="D967" s="173">
        <v>1.7</v>
      </c>
      <c r="E967" s="121"/>
      <c r="F967" s="121">
        <v>3.6</v>
      </c>
      <c r="G967" s="406">
        <f t="shared" si="33"/>
        <v>48.96</v>
      </c>
      <c r="H967" s="430"/>
      <c r="I967" s="517"/>
      <c r="J967" s="165"/>
      <c r="K967" s="165"/>
      <c r="L967" s="165"/>
      <c r="M967" s="165"/>
      <c r="N967" s="518"/>
      <c r="O967" s="505"/>
      <c r="P967" s="164"/>
      <c r="Q967" s="164"/>
      <c r="R967" s="164"/>
    </row>
    <row r="968" spans="1:18" s="149" customFormat="1" ht="15">
      <c r="A968" s="135"/>
      <c r="C968" s="165">
        <v>1</v>
      </c>
      <c r="D968" s="173">
        <v>10.18</v>
      </c>
      <c r="E968" s="121"/>
      <c r="F968" s="121">
        <v>3.6</v>
      </c>
      <c r="G968" s="406">
        <f t="shared" si="33"/>
        <v>36.648000000000003</v>
      </c>
      <c r="H968" s="430"/>
      <c r="I968" s="517"/>
      <c r="J968" s="165"/>
      <c r="K968" s="165"/>
      <c r="L968" s="165"/>
      <c r="M968" s="165"/>
      <c r="N968" s="518"/>
      <c r="O968" s="505"/>
      <c r="P968" s="164"/>
      <c r="Q968" s="164"/>
      <c r="R968" s="164"/>
    </row>
    <row r="969" spans="1:18" s="149" customFormat="1" ht="15">
      <c r="A969" s="135"/>
      <c r="C969" s="165">
        <v>1</v>
      </c>
      <c r="D969" s="165">
        <v>35.42</v>
      </c>
      <c r="E969" s="121"/>
      <c r="F969" s="121">
        <v>3.6</v>
      </c>
      <c r="G969" s="406">
        <f t="shared" si="33"/>
        <v>127.51200000000001</v>
      </c>
      <c r="H969" s="430"/>
      <c r="I969" s="517"/>
      <c r="J969" s="165"/>
      <c r="K969" s="165"/>
      <c r="L969" s="165"/>
      <c r="M969" s="165"/>
      <c r="N969" s="518"/>
      <c r="O969" s="505"/>
      <c r="P969" s="164"/>
      <c r="Q969" s="164"/>
      <c r="R969" s="164"/>
    </row>
    <row r="970" spans="1:18" s="149" customFormat="1" ht="15">
      <c r="A970" s="135"/>
      <c r="C970" s="165">
        <v>1</v>
      </c>
      <c r="D970" s="173">
        <v>8.9</v>
      </c>
      <c r="E970" s="121"/>
      <c r="F970" s="121">
        <v>3.6</v>
      </c>
      <c r="G970" s="406">
        <f t="shared" si="33"/>
        <v>32.04</v>
      </c>
      <c r="H970" s="430"/>
      <c r="I970" s="517"/>
      <c r="J970" s="165"/>
      <c r="K970" s="165"/>
      <c r="L970" s="165"/>
      <c r="M970" s="165"/>
      <c r="N970" s="518"/>
      <c r="O970" s="505"/>
      <c r="P970" s="164"/>
      <c r="Q970" s="164"/>
      <c r="R970" s="164"/>
    </row>
    <row r="971" spans="1:18" s="149" customFormat="1" ht="15">
      <c r="A971" s="135"/>
      <c r="C971" s="165">
        <v>1</v>
      </c>
      <c r="D971" s="165">
        <v>1.4</v>
      </c>
      <c r="E971" s="121"/>
      <c r="F971" s="121">
        <v>3.6</v>
      </c>
      <c r="G971" s="406">
        <f t="shared" si="33"/>
        <v>5.04</v>
      </c>
      <c r="H971" s="430"/>
      <c r="I971" s="517"/>
      <c r="J971" s="165"/>
      <c r="K971" s="165"/>
      <c r="L971" s="165"/>
      <c r="M971" s="165"/>
      <c r="N971" s="518"/>
      <c r="O971" s="505"/>
      <c r="P971" s="164"/>
      <c r="Q971" s="164"/>
      <c r="R971" s="164"/>
    </row>
    <row r="972" spans="1:18" s="149" customFormat="1" ht="15">
      <c r="A972" s="135"/>
      <c r="C972" s="165">
        <v>1</v>
      </c>
      <c r="D972" s="165">
        <v>2.77</v>
      </c>
      <c r="E972" s="121"/>
      <c r="F972" s="121">
        <v>3.6</v>
      </c>
      <c r="G972" s="406">
        <f t="shared" si="33"/>
        <v>9.9719999999999995</v>
      </c>
      <c r="H972" s="430"/>
      <c r="I972" s="517"/>
      <c r="J972" s="165"/>
      <c r="K972" s="165"/>
      <c r="L972" s="165"/>
      <c r="M972" s="165"/>
      <c r="N972" s="518"/>
      <c r="O972" s="505"/>
      <c r="P972" s="164"/>
      <c r="Q972" s="164"/>
      <c r="R972" s="164"/>
    </row>
    <row r="973" spans="1:18" s="149" customFormat="1" ht="15">
      <c r="A973" s="135"/>
      <c r="C973" s="165">
        <v>1</v>
      </c>
      <c r="D973" s="165">
        <v>5.7450000000000001</v>
      </c>
      <c r="E973" s="121"/>
      <c r="F973" s="121">
        <v>3.6</v>
      </c>
      <c r="G973" s="406">
        <f t="shared" si="33"/>
        <v>20.682000000000002</v>
      </c>
      <c r="H973" s="430"/>
      <c r="I973" s="517"/>
      <c r="J973" s="165"/>
      <c r="K973" s="165"/>
      <c r="L973" s="165"/>
      <c r="M973" s="165"/>
      <c r="N973" s="518"/>
      <c r="O973" s="505"/>
      <c r="P973" s="164"/>
      <c r="Q973" s="164"/>
      <c r="R973" s="164"/>
    </row>
    <row r="974" spans="1:18" s="149" customFormat="1" ht="15">
      <c r="A974" s="135"/>
      <c r="C974" s="165">
        <v>1</v>
      </c>
      <c r="D974" s="165">
        <v>2.2250000000000001</v>
      </c>
      <c r="E974" s="121"/>
      <c r="F974" s="121">
        <v>3.6</v>
      </c>
      <c r="G974" s="406">
        <f t="shared" si="33"/>
        <v>8.01</v>
      </c>
      <c r="H974" s="430"/>
      <c r="I974" s="517"/>
      <c r="J974" s="165"/>
      <c r="K974" s="165"/>
      <c r="L974" s="165"/>
      <c r="M974" s="165"/>
      <c r="N974" s="518"/>
      <c r="O974" s="505"/>
      <c r="P974" s="164"/>
      <c r="Q974" s="164"/>
      <c r="R974" s="164"/>
    </row>
    <row r="975" spans="1:18" s="149" customFormat="1" ht="15">
      <c r="A975" s="135"/>
      <c r="C975" s="165">
        <v>1</v>
      </c>
      <c r="D975" s="165">
        <v>2.15</v>
      </c>
      <c r="E975" s="121"/>
      <c r="F975" s="121">
        <v>3.6</v>
      </c>
      <c r="G975" s="406">
        <f t="shared" si="33"/>
        <v>7.74</v>
      </c>
      <c r="H975" s="430"/>
      <c r="I975" s="517"/>
      <c r="J975" s="165"/>
      <c r="K975" s="165"/>
      <c r="L975" s="165"/>
      <c r="M975" s="165"/>
      <c r="N975" s="518"/>
      <c r="O975" s="505"/>
      <c r="P975" s="164"/>
      <c r="Q975" s="164"/>
      <c r="R975" s="164"/>
    </row>
    <row r="976" spans="1:18" s="149" customFormat="1" ht="15">
      <c r="A976" s="135"/>
      <c r="C976" s="165">
        <v>1</v>
      </c>
      <c r="D976" s="165">
        <v>1.77</v>
      </c>
      <c r="E976" s="121"/>
      <c r="F976" s="121">
        <v>3.6</v>
      </c>
      <c r="G976" s="406">
        <f t="shared" si="33"/>
        <v>6.3719999999999999</v>
      </c>
      <c r="H976" s="430"/>
      <c r="I976" s="517"/>
      <c r="J976" s="165"/>
      <c r="K976" s="165"/>
      <c r="L976" s="165"/>
      <c r="M976" s="165"/>
      <c r="N976" s="518"/>
      <c r="O976" s="505"/>
      <c r="P976" s="164"/>
      <c r="Q976" s="164"/>
      <c r="R976" s="164"/>
    </row>
    <row r="977" spans="1:18" s="149" customFormat="1" ht="15">
      <c r="A977" s="135"/>
      <c r="C977" s="165">
        <v>1</v>
      </c>
      <c r="D977" s="165">
        <v>26.87</v>
      </c>
      <c r="E977" s="121"/>
      <c r="F977" s="121">
        <v>3.6</v>
      </c>
      <c r="G977" s="406">
        <f t="shared" si="33"/>
        <v>96.731999999999999</v>
      </c>
      <c r="H977" s="430"/>
      <c r="I977" s="517"/>
      <c r="J977" s="165"/>
      <c r="K977" s="165"/>
      <c r="L977" s="165"/>
      <c r="M977" s="165"/>
      <c r="N977" s="518"/>
      <c r="O977" s="505"/>
      <c r="P977" s="164"/>
      <c r="Q977" s="164"/>
      <c r="R977" s="164"/>
    </row>
    <row r="978" spans="1:18" s="149" customFormat="1" ht="15">
      <c r="A978" s="135"/>
      <c r="C978" s="165">
        <v>2</v>
      </c>
      <c r="D978" s="165">
        <v>4.1900000000000004</v>
      </c>
      <c r="E978" s="121"/>
      <c r="F978" s="121">
        <v>3.6</v>
      </c>
      <c r="G978" s="406">
        <f t="shared" si="33"/>
        <v>30.168000000000003</v>
      </c>
      <c r="H978" s="430"/>
      <c r="I978" s="517"/>
      <c r="J978" s="165"/>
      <c r="K978" s="165"/>
      <c r="L978" s="165"/>
      <c r="M978" s="165"/>
      <c r="N978" s="518"/>
      <c r="O978" s="505"/>
      <c r="P978" s="164"/>
      <c r="Q978" s="164"/>
      <c r="R978" s="164"/>
    </row>
    <row r="979" spans="1:18" s="149" customFormat="1" ht="15">
      <c r="A979" s="135"/>
      <c r="C979" s="165">
        <v>2</v>
      </c>
      <c r="D979" s="165">
        <v>20.98</v>
      </c>
      <c r="E979" s="121"/>
      <c r="F979" s="121">
        <v>3.6</v>
      </c>
      <c r="G979" s="406">
        <f t="shared" si="33"/>
        <v>151.05600000000001</v>
      </c>
      <c r="H979" s="430"/>
      <c r="I979" s="517"/>
      <c r="J979" s="165"/>
      <c r="K979" s="165"/>
      <c r="L979" s="165"/>
      <c r="M979" s="165"/>
      <c r="N979" s="518"/>
      <c r="O979" s="505"/>
      <c r="P979" s="164"/>
      <c r="Q979" s="164"/>
      <c r="R979" s="164"/>
    </row>
    <row r="980" spans="1:18" s="149" customFormat="1" ht="15">
      <c r="A980" s="135"/>
      <c r="C980" s="165">
        <v>6</v>
      </c>
      <c r="D980" s="165">
        <v>10.93</v>
      </c>
      <c r="E980" s="121"/>
      <c r="F980" s="121">
        <v>3.6</v>
      </c>
      <c r="G980" s="406">
        <f t="shared" si="33"/>
        <v>236.08799999999999</v>
      </c>
      <c r="H980" s="430"/>
      <c r="I980" s="517"/>
      <c r="J980" s="165"/>
      <c r="K980" s="165"/>
      <c r="L980" s="165"/>
      <c r="M980" s="165"/>
      <c r="N980" s="518"/>
      <c r="O980" s="505"/>
      <c r="P980" s="164"/>
      <c r="Q980" s="164"/>
      <c r="R980" s="164"/>
    </row>
    <row r="981" spans="1:18" s="149" customFormat="1" ht="15">
      <c r="A981" s="135"/>
      <c r="C981" s="165">
        <v>4</v>
      </c>
      <c r="D981" s="165">
        <v>5.5</v>
      </c>
      <c r="E981" s="121"/>
      <c r="F981" s="121">
        <v>3.6</v>
      </c>
      <c r="G981" s="406">
        <f t="shared" si="33"/>
        <v>79.2</v>
      </c>
      <c r="H981" s="430"/>
      <c r="I981" s="517"/>
      <c r="J981" s="165"/>
      <c r="K981" s="165"/>
      <c r="L981" s="165"/>
      <c r="M981" s="165"/>
      <c r="N981" s="518"/>
      <c r="O981" s="505"/>
      <c r="P981" s="164"/>
      <c r="Q981" s="164"/>
      <c r="R981" s="164"/>
    </row>
    <row r="982" spans="1:18" s="149" customFormat="1" ht="15">
      <c r="A982" s="135"/>
      <c r="C982" s="165">
        <v>1</v>
      </c>
      <c r="D982" s="165">
        <v>22.39</v>
      </c>
      <c r="E982" s="121"/>
      <c r="F982" s="121">
        <v>3.6</v>
      </c>
      <c r="G982" s="406">
        <f t="shared" si="33"/>
        <v>80.603999999999999</v>
      </c>
      <c r="H982" s="430"/>
      <c r="I982" s="517"/>
      <c r="J982" s="165"/>
      <c r="K982" s="165"/>
      <c r="L982" s="165"/>
      <c r="M982" s="165"/>
      <c r="N982" s="518"/>
      <c r="O982" s="505"/>
      <c r="P982" s="164"/>
      <c r="Q982" s="164"/>
      <c r="R982" s="164"/>
    </row>
    <row r="983" spans="1:18" s="149" customFormat="1" ht="15">
      <c r="A983" s="135"/>
      <c r="C983" s="165">
        <v>1</v>
      </c>
      <c r="D983" s="165">
        <v>34.128</v>
      </c>
      <c r="E983" s="121"/>
      <c r="F983" s="121">
        <v>3.6</v>
      </c>
      <c r="G983" s="406">
        <f t="shared" si="33"/>
        <v>122.8608</v>
      </c>
      <c r="H983" s="430"/>
      <c r="I983" s="517"/>
      <c r="J983" s="165"/>
      <c r="K983" s="165"/>
      <c r="L983" s="165"/>
      <c r="M983" s="165"/>
      <c r="N983" s="518"/>
      <c r="O983" s="505"/>
      <c r="P983" s="164"/>
      <c r="Q983" s="164"/>
      <c r="R983" s="164"/>
    </row>
    <row r="984" spans="1:18" s="149" customFormat="1" ht="15">
      <c r="A984" s="135"/>
      <c r="C984" s="165">
        <v>2</v>
      </c>
      <c r="D984" s="165">
        <v>15.13</v>
      </c>
      <c r="E984" s="121"/>
      <c r="F984" s="121">
        <v>3.6</v>
      </c>
      <c r="G984" s="406">
        <f t="shared" si="33"/>
        <v>108.93600000000001</v>
      </c>
      <c r="H984" s="430"/>
      <c r="I984" s="517"/>
      <c r="J984" s="165"/>
      <c r="K984" s="165"/>
      <c r="L984" s="165"/>
      <c r="M984" s="165"/>
      <c r="N984" s="518"/>
      <c r="O984" s="505"/>
      <c r="P984" s="164"/>
      <c r="Q984" s="164"/>
      <c r="R984" s="164"/>
    </row>
    <row r="985" spans="1:18" s="149" customFormat="1" ht="15">
      <c r="A985" s="135"/>
      <c r="C985" s="165">
        <v>2</v>
      </c>
      <c r="D985" s="165">
        <v>2.97</v>
      </c>
      <c r="E985" s="121"/>
      <c r="F985" s="121">
        <v>3.6</v>
      </c>
      <c r="G985" s="406">
        <f t="shared" si="33"/>
        <v>21.384</v>
      </c>
      <c r="H985" s="430"/>
      <c r="I985" s="517"/>
      <c r="J985" s="165"/>
      <c r="K985" s="165"/>
      <c r="L985" s="165"/>
      <c r="M985" s="165"/>
      <c r="N985" s="518"/>
      <c r="O985" s="505"/>
      <c r="P985" s="164"/>
      <c r="Q985" s="164"/>
      <c r="R985" s="164"/>
    </row>
    <row r="986" spans="1:18" s="149" customFormat="1" ht="15">
      <c r="A986" s="135"/>
      <c r="C986" s="165">
        <v>1</v>
      </c>
      <c r="D986" s="165">
        <v>5</v>
      </c>
      <c r="E986" s="121"/>
      <c r="F986" s="121">
        <v>3.6</v>
      </c>
      <c r="G986" s="406">
        <f t="shared" si="33"/>
        <v>18</v>
      </c>
      <c r="H986" s="430"/>
      <c r="I986" s="517"/>
      <c r="J986" s="165"/>
      <c r="K986" s="165"/>
      <c r="L986" s="165"/>
      <c r="M986" s="165"/>
      <c r="N986" s="518"/>
      <c r="O986" s="505"/>
      <c r="P986" s="164"/>
      <c r="Q986" s="164"/>
      <c r="R986" s="164"/>
    </row>
    <row r="987" spans="1:18" s="149" customFormat="1" ht="15">
      <c r="A987" s="135"/>
      <c r="C987" s="165">
        <v>1</v>
      </c>
      <c r="D987" s="165">
        <v>5.5</v>
      </c>
      <c r="E987" s="121"/>
      <c r="F987" s="121">
        <v>3.6</v>
      </c>
      <c r="G987" s="406">
        <f t="shared" si="33"/>
        <v>19.8</v>
      </c>
      <c r="H987" s="430"/>
      <c r="I987" s="517"/>
      <c r="J987" s="165"/>
      <c r="K987" s="165"/>
      <c r="L987" s="165"/>
      <c r="M987" s="165"/>
      <c r="N987" s="518"/>
      <c r="O987" s="505"/>
      <c r="P987" s="164"/>
      <c r="Q987" s="164"/>
      <c r="R987" s="164"/>
    </row>
    <row r="988" spans="1:18" s="149" customFormat="1" ht="15">
      <c r="A988" s="135"/>
      <c r="B988" s="20" t="s">
        <v>1374</v>
      </c>
      <c r="C988" s="165">
        <f>48*2</f>
        <v>96</v>
      </c>
      <c r="D988" s="173">
        <v>0.3</v>
      </c>
      <c r="E988" s="121"/>
      <c r="F988" s="121">
        <v>1.35</v>
      </c>
      <c r="G988" s="406">
        <f t="shared" si="33"/>
        <v>38.880000000000003</v>
      </c>
      <c r="H988" s="430"/>
      <c r="I988" s="517"/>
      <c r="K988" s="121"/>
      <c r="L988" s="120"/>
      <c r="M988" s="165"/>
      <c r="N988" s="173"/>
      <c r="O988" s="505"/>
      <c r="P988" s="164"/>
      <c r="Q988" s="164"/>
      <c r="R988" s="164"/>
    </row>
    <row r="989" spans="1:18" s="149" customFormat="1" ht="15">
      <c r="A989" s="135"/>
      <c r="C989" s="186"/>
      <c r="D989" s="186"/>
      <c r="E989" s="186"/>
      <c r="F989" s="186"/>
      <c r="G989" s="537">
        <f>SUM(G963:G988)</f>
        <v>1905.9891321600001</v>
      </c>
      <c r="H989" s="143" t="s">
        <v>32</v>
      </c>
      <c r="I989" s="517"/>
      <c r="K989" s="121"/>
      <c r="L989" s="173"/>
      <c r="M989" s="165"/>
      <c r="N989" s="173"/>
      <c r="O989" s="505"/>
      <c r="P989" s="164"/>
      <c r="Q989" s="164"/>
      <c r="R989" s="164"/>
    </row>
    <row r="990" spans="1:18" s="149" customFormat="1" ht="15">
      <c r="A990" s="135"/>
      <c r="C990" s="186"/>
      <c r="D990" s="186"/>
      <c r="E990" s="186"/>
      <c r="F990" s="186"/>
      <c r="G990" s="538"/>
      <c r="H990" s="430"/>
      <c r="I990" s="517"/>
      <c r="K990" s="121"/>
      <c r="L990" s="173"/>
      <c r="M990" s="165"/>
      <c r="N990" s="173"/>
      <c r="O990" s="505"/>
      <c r="P990" s="164"/>
      <c r="Q990" s="164"/>
      <c r="R990" s="164"/>
    </row>
    <row r="991" spans="1:18" s="149" customFormat="1" ht="15">
      <c r="A991" s="135"/>
      <c r="B991" s="215" t="s">
        <v>1021</v>
      </c>
      <c r="C991" s="186"/>
      <c r="D991" s="186"/>
      <c r="E991" s="186"/>
      <c r="F991" s="186"/>
      <c r="G991" s="538"/>
      <c r="H991" s="430"/>
      <c r="I991" s="517"/>
      <c r="K991" s="4"/>
      <c r="L991" s="102"/>
      <c r="M991" s="100"/>
      <c r="N991" s="173"/>
      <c r="O991" s="505"/>
      <c r="P991" s="164"/>
      <c r="Q991" s="164"/>
      <c r="R991" s="164"/>
    </row>
    <row r="992" spans="1:18" s="149" customFormat="1" ht="15">
      <c r="A992" s="135"/>
      <c r="B992" s="149" t="s">
        <v>1357</v>
      </c>
      <c r="C992" s="55">
        <v>16</v>
      </c>
      <c r="D992" s="184">
        <v>1.05</v>
      </c>
      <c r="E992" s="184"/>
      <c r="F992" s="184">
        <v>2.1</v>
      </c>
      <c r="G992" s="548">
        <f t="shared" ref="G992:G999" si="34">F992*D992*C992</f>
        <v>35.28</v>
      </c>
      <c r="H992" s="166"/>
      <c r="I992" s="517"/>
      <c r="K992" s="4"/>
      <c r="L992" s="102"/>
      <c r="M992" s="100"/>
      <c r="N992" s="173"/>
      <c r="O992" s="505"/>
      <c r="P992" s="164"/>
      <c r="Q992" s="164"/>
      <c r="R992" s="164"/>
    </row>
    <row r="993" spans="1:18" s="149" customFormat="1" ht="15">
      <c r="A993" s="135"/>
      <c r="B993" s="149" t="s">
        <v>1358</v>
      </c>
      <c r="C993" s="55">
        <v>6</v>
      </c>
      <c r="D993" s="184">
        <v>0.9</v>
      </c>
      <c r="E993" s="184"/>
      <c r="F993" s="184">
        <v>2.1</v>
      </c>
      <c r="G993" s="548">
        <f t="shared" si="34"/>
        <v>11.34</v>
      </c>
      <c r="H993" s="166"/>
      <c r="I993" s="517"/>
      <c r="K993" s="4"/>
      <c r="L993" s="102"/>
      <c r="M993" s="100"/>
      <c r="N993" s="173"/>
      <c r="O993" s="505"/>
      <c r="P993" s="164"/>
      <c r="Q993" s="164"/>
      <c r="R993" s="164"/>
    </row>
    <row r="994" spans="1:18" s="149" customFormat="1" ht="15">
      <c r="A994" s="135"/>
      <c r="B994" s="20" t="s">
        <v>1358</v>
      </c>
      <c r="C994" s="55">
        <v>1</v>
      </c>
      <c r="D994" s="184">
        <v>0.9</v>
      </c>
      <c r="E994" s="184"/>
      <c r="F994" s="184">
        <v>2.1</v>
      </c>
      <c r="G994" s="548">
        <f t="shared" si="34"/>
        <v>1.8900000000000001</v>
      </c>
      <c r="H994" s="166"/>
      <c r="I994" s="517"/>
      <c r="K994" s="4"/>
      <c r="L994" s="102"/>
      <c r="M994" s="100"/>
      <c r="N994" s="173"/>
      <c r="O994" s="505"/>
      <c r="P994" s="164"/>
      <c r="Q994" s="164"/>
      <c r="R994" s="164"/>
    </row>
    <row r="995" spans="1:18" s="149" customFormat="1" ht="15">
      <c r="A995" s="135"/>
      <c r="B995" s="149" t="s">
        <v>1359</v>
      </c>
      <c r="C995" s="55">
        <v>33</v>
      </c>
      <c r="D995" s="184">
        <v>0.75</v>
      </c>
      <c r="E995" s="184"/>
      <c r="F995" s="184">
        <v>2.1</v>
      </c>
      <c r="G995" s="548">
        <f t="shared" si="34"/>
        <v>51.975000000000009</v>
      </c>
      <c r="H995" s="166"/>
      <c r="I995" s="517"/>
      <c r="J995" s="165"/>
      <c r="K995" s="165"/>
      <c r="L995" s="165"/>
      <c r="M995" s="165"/>
      <c r="N995" s="518"/>
      <c r="O995" s="505"/>
      <c r="P995" s="164"/>
      <c r="Q995" s="164"/>
      <c r="R995" s="164"/>
    </row>
    <row r="996" spans="1:18" s="149" customFormat="1" ht="15">
      <c r="A996" s="135"/>
      <c r="B996" s="149" t="s">
        <v>1360</v>
      </c>
      <c r="C996" s="55">
        <v>3</v>
      </c>
      <c r="D996" s="184">
        <v>1.5</v>
      </c>
      <c r="E996" s="184"/>
      <c r="F996" s="184">
        <v>2.1</v>
      </c>
      <c r="G996" s="548">
        <f t="shared" si="34"/>
        <v>9.4500000000000011</v>
      </c>
      <c r="H996" s="166"/>
      <c r="I996" s="517"/>
      <c r="J996" s="264"/>
      <c r="K996" s="121"/>
      <c r="L996" s="401"/>
      <c r="M996" s="165"/>
      <c r="N996" s="518"/>
      <c r="O996" s="505"/>
      <c r="P996" s="164"/>
      <c r="Q996" s="164"/>
      <c r="R996" s="164"/>
    </row>
    <row r="997" spans="1:18" s="149" customFormat="1" ht="15">
      <c r="A997" s="135"/>
      <c r="B997" s="149" t="s">
        <v>1224</v>
      </c>
      <c r="C997" s="55">
        <v>41</v>
      </c>
      <c r="D997" s="184">
        <v>1.2</v>
      </c>
      <c r="E997" s="184"/>
      <c r="F997" s="184">
        <v>1.35</v>
      </c>
      <c r="G997" s="548">
        <f t="shared" si="34"/>
        <v>66.42</v>
      </c>
      <c r="H997" s="166"/>
      <c r="I997" s="517"/>
      <c r="J997" s="264"/>
      <c r="K997" s="121"/>
      <c r="L997" s="401"/>
      <c r="M997" s="165"/>
      <c r="N997" s="518"/>
      <c r="O997" s="505"/>
      <c r="P997" s="164"/>
      <c r="Q997" s="164"/>
      <c r="R997" s="164"/>
    </row>
    <row r="998" spans="1:18" s="149" customFormat="1" ht="15">
      <c r="A998" s="135"/>
      <c r="B998" s="224" t="s">
        <v>1361</v>
      </c>
      <c r="C998" s="55">
        <v>6</v>
      </c>
      <c r="D998" s="184">
        <v>1.8</v>
      </c>
      <c r="E998" s="184"/>
      <c r="F998" s="184">
        <v>1.35</v>
      </c>
      <c r="G998" s="548">
        <f t="shared" si="34"/>
        <v>14.580000000000002</v>
      </c>
      <c r="H998" s="166"/>
      <c r="I998" s="517"/>
      <c r="J998" s="264"/>
      <c r="K998" s="121"/>
      <c r="L998" s="401"/>
      <c r="M998" s="165"/>
      <c r="N998" s="518"/>
      <c r="O998" s="505"/>
      <c r="P998" s="164"/>
      <c r="Q998" s="164"/>
      <c r="R998" s="164"/>
    </row>
    <row r="999" spans="1:18" s="149" customFormat="1" ht="15">
      <c r="A999" s="135"/>
      <c r="B999" s="20" t="s">
        <v>1362</v>
      </c>
      <c r="C999" s="55">
        <v>33</v>
      </c>
      <c r="D999" s="184">
        <v>0.6</v>
      </c>
      <c r="E999" s="184"/>
      <c r="F999" s="184">
        <v>0.6</v>
      </c>
      <c r="G999" s="548">
        <f t="shared" si="34"/>
        <v>11.879999999999999</v>
      </c>
      <c r="H999" s="166"/>
      <c r="I999" s="517"/>
      <c r="J999" s="264"/>
      <c r="K999" s="121"/>
      <c r="L999" s="401"/>
      <c r="M999" s="165"/>
      <c r="N999" s="518"/>
      <c r="O999" s="505"/>
      <c r="P999" s="164"/>
      <c r="Q999" s="164"/>
      <c r="R999" s="164"/>
    </row>
    <row r="1000" spans="1:18" s="149" customFormat="1" ht="15">
      <c r="A1000" s="135"/>
      <c r="C1000" s="186"/>
      <c r="D1000" s="186"/>
      <c r="E1000" s="186"/>
      <c r="F1000" s="186"/>
      <c r="G1000" s="537">
        <f>SUM(G992:G999)</f>
        <v>202.81500000000003</v>
      </c>
      <c r="H1000" s="166"/>
      <c r="I1000" s="517"/>
      <c r="J1000" s="264"/>
      <c r="K1000" s="121"/>
      <c r="L1000" s="401"/>
      <c r="M1000" s="165"/>
      <c r="N1000" s="518"/>
      <c r="O1000" s="505"/>
      <c r="P1000" s="164"/>
      <c r="Q1000" s="164"/>
      <c r="R1000" s="164"/>
    </row>
    <row r="1001" spans="1:18" s="149" customFormat="1" ht="15">
      <c r="A1001" s="135"/>
      <c r="C1001" s="186"/>
      <c r="D1001" s="186"/>
      <c r="E1001" s="186"/>
      <c r="F1001" s="186"/>
      <c r="G1001" s="548">
        <f>G1000/2</f>
        <v>101.40750000000001</v>
      </c>
      <c r="H1001" s="166"/>
      <c r="I1001" s="517"/>
      <c r="J1001" s="264"/>
      <c r="K1001" s="121"/>
      <c r="L1001" s="401"/>
      <c r="M1001" s="165"/>
      <c r="N1001" s="518"/>
      <c r="O1001" s="505"/>
      <c r="P1001" s="164"/>
      <c r="Q1001" s="164"/>
      <c r="R1001" s="164"/>
    </row>
    <row r="1002" spans="1:18" s="149" customFormat="1" ht="15">
      <c r="A1002" s="135"/>
      <c r="B1002" s="164"/>
      <c r="C1002" s="100"/>
      <c r="D1002" s="102"/>
      <c r="E1002" s="100"/>
      <c r="F1002" s="173"/>
      <c r="G1002" s="548"/>
      <c r="H1002" s="166"/>
      <c r="I1002" s="517"/>
      <c r="J1002" s="264"/>
      <c r="K1002" s="121"/>
      <c r="L1002" s="401"/>
      <c r="M1002" s="165"/>
      <c r="N1002" s="518"/>
      <c r="O1002" s="505"/>
      <c r="P1002" s="164"/>
      <c r="Q1002" s="164"/>
      <c r="R1002" s="164"/>
    </row>
    <row r="1003" spans="1:18" s="149" customFormat="1" ht="15">
      <c r="A1003" s="135"/>
      <c r="B1003" s="164"/>
      <c r="C1003" s="100"/>
      <c r="D1003" s="102"/>
      <c r="E1003" s="100"/>
      <c r="F1003" s="173"/>
      <c r="G1003" s="548">
        <f>G989-G1001</f>
        <v>1804.58163216</v>
      </c>
      <c r="H1003" s="166"/>
      <c r="I1003" s="517"/>
      <c r="J1003" s="264"/>
      <c r="K1003" s="121"/>
      <c r="L1003" s="401"/>
      <c r="M1003" s="165"/>
      <c r="N1003" s="518"/>
      <c r="O1003" s="505"/>
      <c r="P1003" s="164"/>
      <c r="Q1003" s="164"/>
      <c r="R1003" s="164"/>
    </row>
    <row r="1004" spans="1:18" s="149" customFormat="1" ht="15">
      <c r="A1004" s="135"/>
      <c r="B1004" s="164"/>
      <c r="C1004" s="100"/>
      <c r="D1004" s="102"/>
      <c r="E1004" s="100"/>
      <c r="F1004" s="173"/>
      <c r="G1004" s="656">
        <f>G1003*10%</f>
        <v>180.458163216</v>
      </c>
      <c r="H1004" s="166"/>
      <c r="I1004" s="517"/>
      <c r="J1004" s="264"/>
      <c r="K1004" s="121"/>
      <c r="L1004" s="401"/>
      <c r="M1004" s="165"/>
      <c r="N1004" s="518"/>
      <c r="O1004" s="505"/>
      <c r="P1004" s="164"/>
      <c r="Q1004" s="164"/>
      <c r="R1004" s="164"/>
    </row>
    <row r="1005" spans="1:18" s="149" customFormat="1" ht="15">
      <c r="A1005" s="135"/>
      <c r="B1005" s="164"/>
      <c r="C1005" s="113"/>
      <c r="D1005" s="113"/>
      <c r="E1005" s="113"/>
      <c r="F1005" s="113"/>
      <c r="G1005" s="551">
        <f>G1004+G1003</f>
        <v>1985.039795376</v>
      </c>
      <c r="H1005" s="516" t="s">
        <v>32</v>
      </c>
      <c r="I1005" s="517"/>
      <c r="J1005" s="264"/>
      <c r="K1005" s="121"/>
      <c r="L1005" s="401"/>
      <c r="M1005" s="165"/>
      <c r="N1005" s="518"/>
      <c r="O1005" s="505"/>
      <c r="P1005" s="164"/>
      <c r="Q1005" s="164"/>
      <c r="R1005" s="164"/>
    </row>
    <row r="1006" spans="1:18" s="149" customFormat="1" ht="15">
      <c r="A1006" s="135"/>
      <c r="C1006" s="4"/>
      <c r="D1006" s="16"/>
      <c r="E1006" s="121"/>
      <c r="F1006" s="121"/>
      <c r="G1006" s="522"/>
      <c r="H1006" s="516"/>
      <c r="I1006" s="517"/>
      <c r="J1006" s="264"/>
      <c r="K1006" s="121"/>
      <c r="L1006" s="401"/>
      <c r="M1006" s="165"/>
      <c r="N1006" s="518"/>
      <c r="O1006" s="505"/>
      <c r="P1006" s="164"/>
      <c r="Q1006" s="164"/>
      <c r="R1006" s="164"/>
    </row>
    <row r="1007" spans="1:18" s="149" customFormat="1" ht="15">
      <c r="A1007" s="135"/>
      <c r="B1007" s="36" t="s">
        <v>1214</v>
      </c>
      <c r="C1007" s="121"/>
      <c r="D1007" s="401"/>
      <c r="E1007" s="186"/>
      <c r="F1007" s="121"/>
      <c r="G1007" s="538"/>
      <c r="H1007" s="430"/>
      <c r="I1007" s="517"/>
      <c r="J1007" s="264"/>
      <c r="K1007" s="121"/>
      <c r="L1007" s="401"/>
      <c r="M1007" s="165"/>
      <c r="N1007" s="518"/>
      <c r="O1007" s="505"/>
      <c r="P1007" s="164"/>
      <c r="Q1007" s="164"/>
      <c r="R1007" s="164"/>
    </row>
    <row r="1008" spans="1:18" s="149" customFormat="1" ht="15">
      <c r="A1008" s="135"/>
      <c r="B1008" s="264"/>
      <c r="C1008" s="165">
        <v>4</v>
      </c>
      <c r="D1008" s="165">
        <v>24.4</v>
      </c>
      <c r="E1008" s="165"/>
      <c r="F1008" s="646">
        <v>3.6</v>
      </c>
      <c r="G1008" s="539">
        <f>F1008*D1008*C1008</f>
        <v>351.36</v>
      </c>
      <c r="H1008" s="430"/>
      <c r="I1008" s="517"/>
      <c r="J1008" s="264"/>
      <c r="K1008" s="121"/>
      <c r="L1008" s="401"/>
      <c r="M1008" s="165"/>
      <c r="N1008" s="518"/>
      <c r="O1008" s="505"/>
      <c r="P1008" s="164"/>
      <c r="Q1008" s="164"/>
      <c r="R1008" s="164"/>
    </row>
    <row r="1009" spans="1:18" s="149" customFormat="1" ht="15">
      <c r="A1009" s="135"/>
      <c r="B1009" s="264"/>
      <c r="C1009" s="165">
        <v>4</v>
      </c>
      <c r="D1009" s="165">
        <v>7.4</v>
      </c>
      <c r="E1009" s="165"/>
      <c r="F1009" s="646">
        <v>3.6</v>
      </c>
      <c r="G1009" s="539">
        <f t="shared" ref="G1009:G1027" si="35">F1009*D1009*C1009</f>
        <v>106.56</v>
      </c>
      <c r="H1009" s="430"/>
      <c r="I1009" s="517"/>
      <c r="J1009" s="264"/>
      <c r="K1009" s="121"/>
      <c r="L1009" s="401"/>
      <c r="M1009" s="165"/>
      <c r="N1009" s="518"/>
      <c r="O1009" s="505"/>
      <c r="P1009" s="164"/>
      <c r="Q1009" s="164"/>
      <c r="R1009" s="164"/>
    </row>
    <row r="1010" spans="1:18" s="149" customFormat="1" ht="15">
      <c r="A1010" s="135"/>
      <c r="B1010" s="264"/>
      <c r="C1010" s="165">
        <v>20</v>
      </c>
      <c r="D1010" s="165">
        <v>1.41</v>
      </c>
      <c r="E1010" s="165"/>
      <c r="F1010" s="646">
        <v>3.6</v>
      </c>
      <c r="G1010" s="539">
        <f t="shared" si="35"/>
        <v>101.52</v>
      </c>
      <c r="H1010" s="430"/>
      <c r="I1010" s="517"/>
      <c r="J1010" s="264"/>
      <c r="K1010" s="121"/>
      <c r="L1010" s="401"/>
      <c r="M1010" s="165"/>
      <c r="N1010" s="518"/>
      <c r="O1010" s="505"/>
      <c r="P1010" s="164"/>
      <c r="Q1010" s="164"/>
      <c r="R1010" s="164"/>
    </row>
    <row r="1011" spans="1:18" s="149" customFormat="1" ht="15">
      <c r="A1011" s="135"/>
      <c r="B1011" s="264"/>
      <c r="C1011" s="165">
        <v>4</v>
      </c>
      <c r="D1011" s="165">
        <v>2.5499999999999998</v>
      </c>
      <c r="E1011" s="165"/>
      <c r="F1011" s="646">
        <v>3.6</v>
      </c>
      <c r="G1011" s="539">
        <f t="shared" si="35"/>
        <v>36.72</v>
      </c>
      <c r="H1011" s="430"/>
      <c r="I1011" s="517"/>
      <c r="J1011" s="264"/>
      <c r="K1011" s="121"/>
      <c r="L1011" s="401"/>
      <c r="M1011" s="165"/>
      <c r="N1011" s="518"/>
      <c r="O1011" s="505"/>
      <c r="P1011" s="164"/>
      <c r="Q1011" s="164"/>
      <c r="R1011" s="164"/>
    </row>
    <row r="1012" spans="1:18" s="149" customFormat="1" ht="15">
      <c r="A1012" s="135"/>
      <c r="B1012" s="264"/>
      <c r="C1012" s="165">
        <v>12</v>
      </c>
      <c r="D1012" s="165">
        <v>1.7</v>
      </c>
      <c r="E1012" s="165"/>
      <c r="F1012" s="646">
        <v>3.6</v>
      </c>
      <c r="G1012" s="539">
        <f t="shared" si="35"/>
        <v>73.44</v>
      </c>
      <c r="H1012" s="430"/>
      <c r="I1012" s="517"/>
      <c r="J1012" s="264"/>
      <c r="K1012" s="121"/>
      <c r="L1012" s="401"/>
      <c r="M1012" s="165"/>
      <c r="N1012" s="518"/>
      <c r="O1012" s="505"/>
      <c r="P1012" s="164"/>
      <c r="Q1012" s="164"/>
      <c r="R1012" s="164"/>
    </row>
    <row r="1013" spans="1:18" s="149" customFormat="1" ht="15">
      <c r="A1013" s="135"/>
      <c r="B1013" s="264"/>
      <c r="C1013" s="165">
        <v>2</v>
      </c>
      <c r="D1013" s="165">
        <v>19.7</v>
      </c>
      <c r="E1013" s="165"/>
      <c r="F1013" s="646">
        <v>3.6</v>
      </c>
      <c r="G1013" s="539">
        <f t="shared" si="35"/>
        <v>141.84</v>
      </c>
      <c r="H1013" s="430"/>
      <c r="I1013" s="517"/>
      <c r="J1013" s="264"/>
      <c r="K1013" s="121"/>
      <c r="L1013" s="401"/>
      <c r="M1013" s="165"/>
      <c r="N1013" s="518"/>
      <c r="O1013" s="505"/>
      <c r="P1013" s="164"/>
      <c r="Q1013" s="164"/>
      <c r="R1013" s="164"/>
    </row>
    <row r="1014" spans="1:18" s="149" customFormat="1" ht="15">
      <c r="A1014" s="135"/>
      <c r="B1014" s="264"/>
      <c r="C1014" s="165">
        <v>2</v>
      </c>
      <c r="D1014" s="165">
        <v>10.465</v>
      </c>
      <c r="E1014" s="165"/>
      <c r="F1014" s="646">
        <v>3.6</v>
      </c>
      <c r="G1014" s="539">
        <f t="shared" si="35"/>
        <v>75.347999999999999</v>
      </c>
      <c r="H1014" s="430"/>
      <c r="I1014" s="517"/>
      <c r="J1014" s="264"/>
      <c r="K1014" s="121"/>
      <c r="L1014" s="401"/>
      <c r="M1014" s="165"/>
      <c r="N1014" s="518"/>
      <c r="O1014" s="505"/>
      <c r="P1014" s="164"/>
      <c r="Q1014" s="164"/>
      <c r="R1014" s="164"/>
    </row>
    <row r="1015" spans="1:18" s="149" customFormat="1" ht="15">
      <c r="A1015" s="135"/>
      <c r="B1015" s="264"/>
      <c r="C1015" s="165">
        <v>1</v>
      </c>
      <c r="D1015" s="165">
        <v>5.7450000000000001</v>
      </c>
      <c r="E1015" s="165"/>
      <c r="F1015" s="646">
        <v>3.6</v>
      </c>
      <c r="G1015" s="539">
        <f t="shared" si="35"/>
        <v>20.682000000000002</v>
      </c>
      <c r="H1015" s="430"/>
      <c r="I1015" s="517"/>
      <c r="J1015" s="264"/>
      <c r="K1015" s="121"/>
      <c r="L1015" s="401"/>
      <c r="M1015" s="165"/>
      <c r="N1015" s="518"/>
      <c r="O1015" s="505"/>
      <c r="P1015" s="164"/>
      <c r="Q1015" s="164"/>
      <c r="R1015" s="164"/>
    </row>
    <row r="1016" spans="1:18" s="149" customFormat="1" ht="15">
      <c r="A1016" s="135"/>
      <c r="B1016" s="264"/>
      <c r="C1016" s="165">
        <v>1</v>
      </c>
      <c r="D1016" s="165">
        <v>16.36</v>
      </c>
      <c r="E1016" s="165"/>
      <c r="F1016" s="646">
        <v>3.6</v>
      </c>
      <c r="G1016" s="539">
        <f t="shared" si="35"/>
        <v>58.896000000000001</v>
      </c>
      <c r="H1016" s="430"/>
      <c r="I1016" s="517"/>
      <c r="J1016" s="264"/>
      <c r="K1016" s="121"/>
      <c r="L1016" s="401"/>
      <c r="M1016" s="165"/>
      <c r="N1016" s="518"/>
      <c r="O1016" s="505"/>
      <c r="P1016" s="164"/>
      <c r="Q1016" s="164"/>
      <c r="R1016" s="164"/>
    </row>
    <row r="1017" spans="1:18" s="149" customFormat="1" ht="15">
      <c r="A1017" s="135"/>
      <c r="B1017" s="264"/>
      <c r="C1017" s="165">
        <v>2</v>
      </c>
      <c r="D1017" s="165">
        <v>22.64</v>
      </c>
      <c r="E1017" s="165"/>
      <c r="F1017" s="646">
        <v>3.6</v>
      </c>
      <c r="G1017" s="539">
        <f t="shared" si="35"/>
        <v>163.00800000000001</v>
      </c>
      <c r="H1017" s="430"/>
      <c r="I1017" s="517"/>
      <c r="J1017" s="264"/>
      <c r="K1017" s="121"/>
      <c r="L1017" s="401"/>
      <c r="M1017" s="165"/>
      <c r="N1017" s="518"/>
      <c r="O1017" s="505"/>
      <c r="P1017" s="164"/>
      <c r="Q1017" s="164"/>
      <c r="R1017" s="164"/>
    </row>
    <row r="1018" spans="1:18" s="149" customFormat="1" ht="15">
      <c r="A1018" s="135"/>
      <c r="B1018" s="264"/>
      <c r="C1018" s="165">
        <v>6</v>
      </c>
      <c r="D1018" s="165">
        <v>10.935</v>
      </c>
      <c r="E1018" s="165"/>
      <c r="F1018" s="646">
        <v>3.6</v>
      </c>
      <c r="G1018" s="539">
        <f t="shared" si="35"/>
        <v>236.196</v>
      </c>
      <c r="H1018" s="430"/>
      <c r="I1018" s="517"/>
      <c r="J1018" s="264"/>
      <c r="K1018" s="121"/>
      <c r="L1018" s="401"/>
      <c r="M1018" s="165"/>
      <c r="N1018" s="518"/>
      <c r="O1018" s="505"/>
      <c r="P1018" s="164"/>
      <c r="Q1018" s="164"/>
      <c r="R1018" s="164"/>
    </row>
    <row r="1019" spans="1:18" s="149" customFormat="1" ht="15">
      <c r="A1019" s="135"/>
      <c r="B1019" s="264"/>
      <c r="C1019" s="165">
        <v>4</v>
      </c>
      <c r="D1019" s="165">
        <v>5.55</v>
      </c>
      <c r="E1019" s="165"/>
      <c r="F1019" s="646">
        <v>3.6</v>
      </c>
      <c r="G1019" s="539">
        <f t="shared" si="35"/>
        <v>79.92</v>
      </c>
      <c r="H1019" s="430"/>
      <c r="I1019" s="517"/>
      <c r="J1019" s="264"/>
      <c r="K1019" s="121"/>
      <c r="L1019" s="401"/>
      <c r="M1019" s="165"/>
      <c r="N1019" s="518"/>
      <c r="O1019" s="505"/>
      <c r="P1019" s="164"/>
      <c r="Q1019" s="164"/>
      <c r="R1019" s="164"/>
    </row>
    <row r="1020" spans="1:18" s="149" customFormat="1" ht="15">
      <c r="A1020" s="135"/>
      <c r="B1020" s="264"/>
      <c r="C1020" s="165">
        <v>2</v>
      </c>
      <c r="D1020" s="165">
        <v>26.14</v>
      </c>
      <c r="E1020" s="165"/>
      <c r="F1020" s="646">
        <v>3.6</v>
      </c>
      <c r="G1020" s="539">
        <f t="shared" si="35"/>
        <v>188.208</v>
      </c>
      <c r="H1020" s="430"/>
      <c r="I1020" s="517"/>
      <c r="J1020" s="20"/>
      <c r="K1020" s="121"/>
      <c r="L1020" s="401"/>
      <c r="M1020" s="165"/>
      <c r="N1020" s="518"/>
      <c r="O1020" s="505"/>
      <c r="P1020" s="164"/>
      <c r="Q1020" s="164"/>
      <c r="R1020" s="164"/>
    </row>
    <row r="1021" spans="1:18" s="149" customFormat="1" ht="15">
      <c r="A1021" s="135"/>
      <c r="B1021" s="264"/>
      <c r="C1021" s="165">
        <v>2</v>
      </c>
      <c r="D1021" s="165">
        <v>5.03</v>
      </c>
      <c r="E1021" s="165"/>
      <c r="F1021" s="646">
        <v>3.6</v>
      </c>
      <c r="G1021" s="539">
        <f t="shared" si="35"/>
        <v>36.216000000000001</v>
      </c>
      <c r="H1021" s="430"/>
      <c r="I1021" s="517"/>
      <c r="J1021" s="264"/>
      <c r="K1021" s="121"/>
      <c r="L1021" s="401"/>
      <c r="M1021" s="165"/>
      <c r="N1021" s="518"/>
      <c r="O1021" s="505"/>
      <c r="P1021" s="164"/>
      <c r="Q1021" s="164"/>
      <c r="R1021" s="164"/>
    </row>
    <row r="1022" spans="1:18" s="149" customFormat="1" ht="15">
      <c r="A1022" s="135"/>
      <c r="B1022" s="264"/>
      <c r="C1022" s="165">
        <v>2</v>
      </c>
      <c r="D1022" s="165">
        <v>15.13</v>
      </c>
      <c r="E1022" s="165"/>
      <c r="F1022" s="646">
        <v>3.6</v>
      </c>
      <c r="G1022" s="539">
        <f t="shared" si="35"/>
        <v>108.93600000000001</v>
      </c>
      <c r="H1022" s="430"/>
      <c r="I1022" s="517"/>
      <c r="K1022" s="121"/>
      <c r="L1022" s="401"/>
      <c r="M1022" s="165"/>
      <c r="N1022" s="518"/>
      <c r="O1022" s="505"/>
      <c r="P1022" s="164"/>
      <c r="Q1022" s="164"/>
      <c r="R1022" s="164"/>
    </row>
    <row r="1023" spans="1:18" s="149" customFormat="1" ht="15">
      <c r="A1023" s="135"/>
      <c r="B1023" s="264"/>
      <c r="C1023" s="165">
        <v>1</v>
      </c>
      <c r="D1023" s="165">
        <v>4.5</v>
      </c>
      <c r="E1023" s="165"/>
      <c r="F1023" s="646">
        <v>3.6</v>
      </c>
      <c r="G1023" s="539">
        <f t="shared" si="35"/>
        <v>16.2</v>
      </c>
      <c r="H1023" s="430"/>
      <c r="I1023" s="517"/>
      <c r="K1023" s="121"/>
      <c r="L1023" s="401"/>
      <c r="M1023" s="165"/>
      <c r="N1023" s="518"/>
      <c r="O1023" s="505"/>
      <c r="P1023" s="164"/>
      <c r="Q1023" s="164"/>
      <c r="R1023" s="164"/>
    </row>
    <row r="1024" spans="1:18" s="149" customFormat="1" ht="15">
      <c r="A1024" s="135"/>
      <c r="B1024" s="264"/>
      <c r="C1024" s="165">
        <v>1</v>
      </c>
      <c r="D1024" s="165">
        <v>3.45</v>
      </c>
      <c r="E1024" s="165"/>
      <c r="F1024" s="646">
        <v>3.6</v>
      </c>
      <c r="G1024" s="539">
        <f t="shared" si="35"/>
        <v>12.420000000000002</v>
      </c>
      <c r="H1024" s="430"/>
      <c r="I1024" s="517"/>
      <c r="K1024" s="121"/>
      <c r="L1024" s="401"/>
      <c r="M1024" s="165"/>
      <c r="N1024" s="518"/>
      <c r="O1024" s="505"/>
      <c r="P1024" s="164"/>
      <c r="Q1024" s="164"/>
      <c r="R1024" s="164"/>
    </row>
    <row r="1025" spans="1:18" s="149" customFormat="1" ht="15">
      <c r="A1025" s="135"/>
      <c r="B1025" s="20" t="s">
        <v>1336</v>
      </c>
      <c r="C1025" s="165">
        <v>1</v>
      </c>
      <c r="D1025" s="165">
        <v>23.5</v>
      </c>
      <c r="E1025" s="165"/>
      <c r="F1025" s="646">
        <v>1.2</v>
      </c>
      <c r="G1025" s="539">
        <f t="shared" si="35"/>
        <v>28.2</v>
      </c>
      <c r="H1025" s="430"/>
      <c r="I1025" s="517"/>
      <c r="K1025" s="121"/>
      <c r="L1025" s="401"/>
      <c r="M1025" s="165"/>
      <c r="N1025" s="518"/>
      <c r="O1025" s="505"/>
      <c r="P1025" s="164"/>
      <c r="Q1025" s="164"/>
      <c r="R1025" s="164"/>
    </row>
    <row r="1026" spans="1:18" s="149" customFormat="1" ht="15">
      <c r="A1026" s="135"/>
      <c r="B1026" s="264"/>
      <c r="C1026" s="165">
        <v>1</v>
      </c>
      <c r="D1026" s="165">
        <v>24.8</v>
      </c>
      <c r="E1026" s="165"/>
      <c r="F1026" s="646">
        <v>1.2</v>
      </c>
      <c r="G1026" s="539">
        <f t="shared" si="35"/>
        <v>29.759999999999998</v>
      </c>
      <c r="H1026" s="430"/>
      <c r="I1026" s="517"/>
      <c r="K1026" s="121"/>
      <c r="L1026" s="401"/>
      <c r="M1026" s="165"/>
      <c r="N1026" s="518"/>
      <c r="O1026" s="505"/>
      <c r="P1026" s="164"/>
      <c r="Q1026" s="164"/>
      <c r="R1026" s="164"/>
    </row>
    <row r="1027" spans="1:18" s="149" customFormat="1" ht="15">
      <c r="A1027" s="135"/>
      <c r="B1027" s="20" t="s">
        <v>1374</v>
      </c>
      <c r="C1027" s="165">
        <f>48*2</f>
        <v>96</v>
      </c>
      <c r="D1027" s="173">
        <v>0.3</v>
      </c>
      <c r="E1027" s="121"/>
      <c r="F1027" s="121">
        <v>1.35</v>
      </c>
      <c r="G1027" s="539">
        <f t="shared" si="35"/>
        <v>38.880000000000003</v>
      </c>
      <c r="H1027" s="430"/>
      <c r="I1027" s="517"/>
      <c r="K1027" s="121"/>
      <c r="L1027" s="401"/>
      <c r="M1027" s="165"/>
      <c r="N1027" s="518"/>
      <c r="O1027" s="505"/>
      <c r="P1027" s="164"/>
      <c r="Q1027" s="164"/>
      <c r="R1027" s="164"/>
    </row>
    <row r="1028" spans="1:18" s="149" customFormat="1" ht="15">
      <c r="A1028" s="135"/>
      <c r="C1028" s="186"/>
      <c r="D1028" s="186"/>
      <c r="E1028" s="186"/>
      <c r="F1028" s="186"/>
      <c r="G1028" s="537">
        <f>SUM(G1007:G1027)</f>
        <v>1904.3100000000002</v>
      </c>
      <c r="H1028" s="430" t="s">
        <v>1235</v>
      </c>
      <c r="I1028" s="517"/>
      <c r="J1028" s="165"/>
      <c r="K1028" s="165"/>
      <c r="L1028" s="165"/>
      <c r="M1028" s="165"/>
      <c r="N1028" s="518"/>
      <c r="O1028" s="505"/>
      <c r="P1028" s="164"/>
      <c r="Q1028" s="164"/>
      <c r="R1028" s="164"/>
    </row>
    <row r="1029" spans="1:18" s="149" customFormat="1" ht="15">
      <c r="A1029" s="135"/>
      <c r="C1029" s="186"/>
      <c r="D1029" s="186"/>
      <c r="E1029" s="186"/>
      <c r="F1029" s="186"/>
      <c r="G1029" s="538"/>
      <c r="H1029" s="430"/>
      <c r="I1029" s="517"/>
      <c r="J1029" s="165"/>
      <c r="K1029" s="165"/>
      <c r="L1029" s="165"/>
      <c r="M1029" s="165"/>
      <c r="N1029" s="518"/>
      <c r="O1029" s="505"/>
      <c r="P1029" s="164"/>
      <c r="Q1029" s="164"/>
      <c r="R1029" s="164"/>
    </row>
    <row r="1030" spans="1:18" s="149" customFormat="1" ht="15">
      <c r="A1030" s="135"/>
      <c r="B1030" s="215" t="s">
        <v>1230</v>
      </c>
      <c r="C1030" s="186"/>
      <c r="D1030" s="186"/>
      <c r="E1030" s="186"/>
      <c r="F1030" s="186"/>
      <c r="G1030" s="538"/>
      <c r="H1030" s="430"/>
      <c r="I1030" s="517"/>
      <c r="J1030" s="165"/>
      <c r="K1030" s="165"/>
      <c r="L1030" s="165"/>
      <c r="M1030" s="165"/>
      <c r="N1030" s="518"/>
      <c r="O1030" s="505"/>
      <c r="P1030" s="164"/>
      <c r="Q1030" s="164"/>
      <c r="R1030" s="164"/>
    </row>
    <row r="1031" spans="1:18" s="149" customFormat="1" ht="15">
      <c r="A1031" s="135"/>
      <c r="B1031" s="149" t="s">
        <v>1357</v>
      </c>
      <c r="C1031" s="55">
        <v>17</v>
      </c>
      <c r="D1031" s="184">
        <v>1.05</v>
      </c>
      <c r="E1031" s="184"/>
      <c r="F1031" s="184">
        <v>2.1</v>
      </c>
      <c r="G1031" s="548">
        <f t="shared" ref="G1031:G1036" si="36">F1031*D1031*C1031</f>
        <v>37.484999999999999</v>
      </c>
      <c r="H1031" s="430"/>
      <c r="I1031" s="517"/>
      <c r="J1031" s="165"/>
      <c r="K1031" s="165"/>
      <c r="L1031" s="165"/>
      <c r="M1031" s="165"/>
      <c r="N1031" s="518"/>
      <c r="O1031" s="505"/>
      <c r="P1031" s="164"/>
      <c r="Q1031" s="164"/>
      <c r="R1031" s="164"/>
    </row>
    <row r="1032" spans="1:18" s="149" customFormat="1" ht="15">
      <c r="A1032" s="135"/>
      <c r="B1032" s="149" t="s">
        <v>1358</v>
      </c>
      <c r="C1032" s="55">
        <v>4</v>
      </c>
      <c r="D1032" s="184">
        <v>0.9</v>
      </c>
      <c r="E1032" s="184"/>
      <c r="F1032" s="184">
        <v>2.1</v>
      </c>
      <c r="G1032" s="548">
        <f t="shared" si="36"/>
        <v>7.5600000000000005</v>
      </c>
      <c r="H1032" s="430"/>
      <c r="I1032" s="517"/>
      <c r="J1032" s="165"/>
      <c r="K1032" s="165"/>
      <c r="L1032" s="165"/>
      <c r="M1032" s="165"/>
      <c r="N1032" s="518"/>
      <c r="O1032" s="505"/>
      <c r="P1032" s="164"/>
      <c r="Q1032" s="164"/>
      <c r="R1032" s="164"/>
    </row>
    <row r="1033" spans="1:18" s="149" customFormat="1" ht="15">
      <c r="A1033" s="135"/>
      <c r="B1033" s="149" t="s">
        <v>1359</v>
      </c>
      <c r="C1033" s="55">
        <v>33</v>
      </c>
      <c r="D1033" s="184">
        <v>0.75</v>
      </c>
      <c r="E1033" s="184"/>
      <c r="F1033" s="184">
        <v>2.1</v>
      </c>
      <c r="G1033" s="548">
        <f t="shared" si="36"/>
        <v>51.975000000000009</v>
      </c>
      <c r="H1033" s="430"/>
      <c r="I1033" s="517"/>
      <c r="J1033" s="165"/>
      <c r="K1033" s="165"/>
      <c r="L1033" s="165"/>
      <c r="M1033" s="165"/>
      <c r="N1033" s="518"/>
      <c r="O1033" s="505"/>
      <c r="P1033" s="164"/>
      <c r="Q1033" s="164"/>
      <c r="R1033" s="164"/>
    </row>
    <row r="1034" spans="1:18" s="149" customFormat="1" ht="15">
      <c r="A1034" s="135"/>
      <c r="B1034" s="149" t="s">
        <v>1224</v>
      </c>
      <c r="C1034" s="55">
        <v>40</v>
      </c>
      <c r="D1034" s="184">
        <v>1.2</v>
      </c>
      <c r="E1034" s="184"/>
      <c r="F1034" s="184">
        <v>1.35</v>
      </c>
      <c r="G1034" s="548">
        <f t="shared" si="36"/>
        <v>64.800000000000011</v>
      </c>
      <c r="H1034" s="430"/>
      <c r="I1034" s="517"/>
      <c r="J1034" s="165"/>
      <c r="K1034" s="165"/>
      <c r="L1034" s="165"/>
      <c r="M1034" s="165"/>
      <c r="N1034" s="518"/>
      <c r="O1034" s="505"/>
      <c r="P1034" s="164"/>
      <c r="Q1034" s="164"/>
      <c r="R1034" s="164"/>
    </row>
    <row r="1035" spans="1:18" s="149" customFormat="1" ht="15">
      <c r="A1035" s="135"/>
      <c r="B1035" s="224" t="s">
        <v>1361</v>
      </c>
      <c r="C1035" s="55">
        <v>3</v>
      </c>
      <c r="D1035" s="184">
        <v>1.8</v>
      </c>
      <c r="E1035" s="184"/>
      <c r="F1035" s="184">
        <v>1.35</v>
      </c>
      <c r="G1035" s="548">
        <f t="shared" si="36"/>
        <v>7.2900000000000009</v>
      </c>
      <c r="H1035" s="430"/>
      <c r="I1035" s="517"/>
      <c r="J1035" s="165"/>
      <c r="K1035" s="165"/>
      <c r="L1035" s="165"/>
      <c r="M1035" s="165"/>
      <c r="N1035" s="518"/>
      <c r="O1035" s="505"/>
      <c r="P1035" s="164"/>
      <c r="Q1035" s="164"/>
      <c r="R1035" s="164"/>
    </row>
    <row r="1036" spans="1:18" s="149" customFormat="1" ht="15">
      <c r="A1036" s="135"/>
      <c r="B1036" s="20" t="s">
        <v>1362</v>
      </c>
      <c r="C1036" s="55">
        <v>33</v>
      </c>
      <c r="D1036" s="184">
        <v>0.6</v>
      </c>
      <c r="E1036" s="184"/>
      <c r="F1036" s="184">
        <v>0.6</v>
      </c>
      <c r="G1036" s="592">
        <f t="shared" si="36"/>
        <v>11.879999999999999</v>
      </c>
      <c r="H1036" s="430"/>
      <c r="I1036" s="517"/>
      <c r="J1036" s="165"/>
      <c r="K1036" s="165"/>
      <c r="L1036" s="165"/>
      <c r="M1036" s="165"/>
      <c r="N1036" s="518"/>
      <c r="O1036" s="505"/>
      <c r="P1036" s="164"/>
      <c r="Q1036" s="164"/>
      <c r="R1036" s="164"/>
    </row>
    <row r="1037" spans="1:18" s="149" customFormat="1" ht="15">
      <c r="A1037" s="135"/>
      <c r="B1037" s="164"/>
      <c r="C1037" s="113"/>
      <c r="D1037" s="113"/>
      <c r="E1037" s="113"/>
      <c r="F1037" s="113"/>
      <c r="G1037" s="548">
        <f>SUM(G1031:G1036)</f>
        <v>180.99</v>
      </c>
      <c r="H1037" s="430"/>
      <c r="I1037" s="517"/>
      <c r="J1037" s="165"/>
      <c r="K1037" s="165"/>
      <c r="L1037" s="165"/>
      <c r="M1037" s="165"/>
      <c r="N1037" s="518"/>
      <c r="O1037" s="505"/>
      <c r="P1037" s="164"/>
      <c r="Q1037" s="164"/>
      <c r="R1037" s="164"/>
    </row>
    <row r="1038" spans="1:18" s="149" customFormat="1" ht="15">
      <c r="A1038" s="135"/>
      <c r="B1038" s="164"/>
      <c r="C1038" s="113"/>
      <c r="D1038" s="113"/>
      <c r="E1038" s="113"/>
      <c r="F1038" s="113"/>
      <c r="G1038" s="548">
        <f>G1037/2</f>
        <v>90.495000000000005</v>
      </c>
      <c r="H1038" s="430"/>
      <c r="I1038" s="517"/>
      <c r="J1038" s="165"/>
      <c r="K1038" s="165"/>
      <c r="L1038" s="165"/>
      <c r="M1038" s="165"/>
      <c r="N1038" s="518"/>
      <c r="O1038" s="505"/>
      <c r="P1038" s="164"/>
      <c r="Q1038" s="164"/>
      <c r="R1038" s="164"/>
    </row>
    <row r="1039" spans="1:18" s="164" customFormat="1" ht="15">
      <c r="A1039" s="249"/>
      <c r="C1039" s="113"/>
      <c r="D1039" s="113"/>
      <c r="E1039" s="113"/>
      <c r="F1039" s="113"/>
      <c r="G1039" s="548"/>
      <c r="H1039" s="166"/>
      <c r="I1039" s="517"/>
      <c r="J1039" s="165"/>
      <c r="K1039" s="165"/>
      <c r="L1039" s="165"/>
      <c r="M1039" s="165"/>
      <c r="N1039" s="518"/>
      <c r="O1039" s="505"/>
    </row>
    <row r="1040" spans="1:18" s="164" customFormat="1" ht="15">
      <c r="A1040" s="249"/>
      <c r="C1040" s="113"/>
      <c r="D1040" s="113"/>
      <c r="E1040" s="113"/>
      <c r="F1040" s="113"/>
      <c r="G1040" s="548">
        <f>G1028-G1038</f>
        <v>1813.8150000000001</v>
      </c>
      <c r="H1040" s="166"/>
      <c r="I1040" s="517"/>
      <c r="J1040" s="165"/>
      <c r="K1040" s="165"/>
      <c r="L1040" s="165"/>
      <c r="M1040" s="165"/>
      <c r="N1040" s="518"/>
      <c r="O1040" s="505"/>
    </row>
    <row r="1041" spans="1:18" s="164" customFormat="1" ht="15">
      <c r="A1041" s="249"/>
      <c r="C1041" s="113"/>
      <c r="D1041" s="113"/>
      <c r="E1041" s="113"/>
      <c r="F1041" s="113"/>
      <c r="G1041" s="656">
        <f>G1040*10%</f>
        <v>181.38150000000002</v>
      </c>
      <c r="H1041" s="166"/>
      <c r="I1041" s="517"/>
      <c r="J1041" s="165"/>
      <c r="K1041" s="165"/>
      <c r="L1041" s="165"/>
      <c r="M1041" s="165"/>
      <c r="N1041" s="518"/>
      <c r="O1041" s="505"/>
    </row>
    <row r="1042" spans="1:18" s="164" customFormat="1" ht="15">
      <c r="A1042" s="249"/>
      <c r="C1042" s="113"/>
      <c r="D1042" s="113"/>
      <c r="E1042" s="113"/>
      <c r="F1042" s="113"/>
      <c r="G1042" s="551">
        <f>G1041+G1040</f>
        <v>1995.1965</v>
      </c>
      <c r="H1042" s="527" t="s">
        <v>32</v>
      </c>
      <c r="I1042" s="547"/>
      <c r="J1042" s="165"/>
      <c r="K1042" s="165"/>
      <c r="L1042" s="165"/>
      <c r="M1042" s="165"/>
      <c r="N1042" s="518"/>
      <c r="O1042" s="505"/>
    </row>
    <row r="1043" spans="1:18" s="164" customFormat="1" ht="15">
      <c r="A1043" s="249"/>
      <c r="B1043" s="505"/>
      <c r="C1043" s="100"/>
      <c r="D1043" s="102"/>
      <c r="E1043" s="165"/>
      <c r="F1043" s="165"/>
      <c r="G1043" s="522"/>
      <c r="H1043" s="527"/>
      <c r="I1043" s="517"/>
      <c r="J1043" s="165"/>
      <c r="K1043" s="165"/>
      <c r="L1043" s="165"/>
      <c r="M1043" s="165"/>
      <c r="N1043" s="518"/>
      <c r="O1043" s="505"/>
    </row>
    <row r="1044" spans="1:18" s="149" customFormat="1" ht="15">
      <c r="A1044" s="135"/>
      <c r="B1044" s="36" t="s">
        <v>1164</v>
      </c>
      <c r="C1044" s="186">
        <v>1</v>
      </c>
      <c r="D1044" s="186">
        <f>D740</f>
        <v>248.31800000000001</v>
      </c>
      <c r="E1044" s="186"/>
      <c r="F1044" s="186">
        <v>0.9</v>
      </c>
      <c r="G1044" s="542">
        <f>F1044*D1044*C1044</f>
        <v>223.48620000000003</v>
      </c>
      <c r="H1044" s="543"/>
      <c r="I1044" s="517"/>
      <c r="J1044" s="165"/>
      <c r="K1044" s="165"/>
      <c r="L1044" s="165"/>
      <c r="M1044" s="165"/>
      <c r="N1044" s="518"/>
      <c r="O1044" s="505"/>
      <c r="P1044" s="164"/>
      <c r="Q1044" s="164"/>
      <c r="R1044" s="164"/>
    </row>
    <row r="1045" spans="1:18" s="149" customFormat="1" ht="15">
      <c r="A1045" s="135"/>
      <c r="B1045" s="36"/>
      <c r="C1045" s="186">
        <v>1</v>
      </c>
      <c r="D1045" s="186">
        <f>D1044</f>
        <v>248.31800000000001</v>
      </c>
      <c r="E1045" s="186">
        <v>0.25</v>
      </c>
      <c r="F1045" s="186"/>
      <c r="G1045" s="542">
        <f>E1045*D1045*C1045</f>
        <v>62.079500000000003</v>
      </c>
      <c r="H1045" s="543"/>
      <c r="I1045" s="517"/>
      <c r="J1045" s="165"/>
      <c r="K1045" s="165"/>
      <c r="L1045" s="165"/>
      <c r="M1045" s="165"/>
      <c r="N1045" s="518"/>
      <c r="O1045" s="505"/>
      <c r="P1045" s="164"/>
      <c r="Q1045" s="164"/>
      <c r="R1045" s="164"/>
    </row>
    <row r="1046" spans="1:18" s="149" customFormat="1" ht="15">
      <c r="A1046" s="135"/>
      <c r="B1046" s="36" t="s">
        <v>1161</v>
      </c>
      <c r="C1046" s="121">
        <v>2</v>
      </c>
      <c r="D1046" s="121">
        <v>19</v>
      </c>
      <c r="E1046" s="121"/>
      <c r="F1046" s="121">
        <v>2.4</v>
      </c>
      <c r="G1046" s="529">
        <f>F1046*D1046*C1046</f>
        <v>91.2</v>
      </c>
      <c r="H1046" s="516"/>
      <c r="I1046" s="517"/>
      <c r="J1046" s="165"/>
      <c r="K1046" s="165"/>
      <c r="L1046" s="165"/>
      <c r="M1046" s="165"/>
      <c r="N1046" s="518"/>
      <c r="O1046" s="505"/>
      <c r="P1046" s="164"/>
      <c r="Q1046" s="164"/>
      <c r="R1046" s="164"/>
    </row>
    <row r="1047" spans="1:18" s="149" customFormat="1" ht="15">
      <c r="A1047" s="135"/>
      <c r="B1047" s="36"/>
      <c r="C1047" s="121"/>
      <c r="D1047" s="121"/>
      <c r="E1047" s="121"/>
      <c r="F1047" s="121"/>
      <c r="G1047" s="653">
        <f>SUM(G1044:G1046)</f>
        <v>376.76570000000004</v>
      </c>
      <c r="H1047" s="516"/>
      <c r="I1047" s="517"/>
      <c r="J1047" s="165"/>
      <c r="K1047" s="165"/>
      <c r="L1047" s="165"/>
      <c r="M1047" s="165"/>
      <c r="N1047" s="518"/>
      <c r="O1047" s="505"/>
      <c r="P1047" s="164"/>
      <c r="Q1047" s="164"/>
      <c r="R1047" s="164"/>
    </row>
    <row r="1048" spans="1:18" s="149" customFormat="1" ht="15">
      <c r="A1048" s="135"/>
      <c r="B1048" s="36"/>
      <c r="C1048" s="121"/>
      <c r="D1048" s="121"/>
      <c r="E1048" s="121"/>
      <c r="F1048" s="121"/>
      <c r="G1048" s="653"/>
      <c r="H1048" s="516"/>
      <c r="I1048" s="517"/>
      <c r="J1048" s="165"/>
      <c r="K1048" s="165"/>
      <c r="L1048" s="165"/>
      <c r="M1048" s="165"/>
      <c r="N1048" s="518"/>
      <c r="O1048" s="505"/>
      <c r="P1048" s="164"/>
      <c r="Q1048" s="164"/>
      <c r="R1048" s="164"/>
    </row>
    <row r="1049" spans="1:18" s="149" customFormat="1" ht="15">
      <c r="A1049" s="135"/>
      <c r="B1049" s="36" t="s">
        <v>1021</v>
      </c>
      <c r="C1049" s="121">
        <v>2</v>
      </c>
      <c r="D1049" s="120">
        <v>0.9</v>
      </c>
      <c r="E1049" s="121"/>
      <c r="F1049" s="120">
        <f>4.5*0.3</f>
        <v>1.3499999999999999</v>
      </c>
      <c r="G1049" s="522">
        <f>F1049*D1049*C1049</f>
        <v>2.4299999999999997</v>
      </c>
      <c r="H1049" s="516"/>
      <c r="I1049" s="517"/>
      <c r="J1049" s="165"/>
      <c r="Q1049" s="164"/>
      <c r="R1049" s="164"/>
    </row>
    <row r="1050" spans="1:18" s="149" customFormat="1" ht="15">
      <c r="A1050" s="135"/>
      <c r="B1050" s="36"/>
      <c r="C1050" s="121"/>
      <c r="D1050" s="120"/>
      <c r="E1050" s="121"/>
      <c r="F1050" s="120"/>
      <c r="G1050" s="522">
        <f>G1049/2</f>
        <v>1.2149999999999999</v>
      </c>
      <c r="H1050" s="516"/>
      <c r="I1050" s="517"/>
      <c r="Q1050" s="164"/>
      <c r="R1050" s="164"/>
    </row>
    <row r="1051" spans="1:18" s="149" customFormat="1" ht="15">
      <c r="A1051" s="135"/>
      <c r="B1051" s="36"/>
      <c r="C1051" s="121"/>
      <c r="D1051" s="173"/>
      <c r="E1051" s="165"/>
      <c r="F1051" s="173"/>
      <c r="G1051" s="522"/>
      <c r="H1051" s="527"/>
      <c r="I1051" s="517"/>
      <c r="Q1051" s="164"/>
      <c r="R1051" s="164"/>
    </row>
    <row r="1052" spans="1:18" s="149" customFormat="1" ht="15">
      <c r="A1052" s="135"/>
      <c r="B1052" s="36"/>
      <c r="C1052" s="121"/>
      <c r="D1052" s="173"/>
      <c r="E1052" s="165"/>
      <c r="F1052" s="173"/>
      <c r="G1052" s="522">
        <f>G1047-G1050</f>
        <v>375.55070000000006</v>
      </c>
      <c r="H1052" s="527"/>
      <c r="I1052" s="517"/>
      <c r="Q1052" s="164"/>
      <c r="R1052" s="164"/>
    </row>
    <row r="1053" spans="1:18" s="149" customFormat="1" ht="15">
      <c r="A1053" s="135"/>
      <c r="B1053" s="36"/>
      <c r="C1053" s="121"/>
      <c r="D1053" s="173"/>
      <c r="E1053" s="165"/>
      <c r="F1053" s="173"/>
      <c r="G1053" s="656">
        <f>G1052*10%</f>
        <v>37.555070000000008</v>
      </c>
      <c r="H1053" s="527"/>
      <c r="I1053" s="517"/>
      <c r="Q1053" s="164"/>
      <c r="R1053" s="164"/>
    </row>
    <row r="1054" spans="1:18" s="149" customFormat="1" ht="15">
      <c r="A1054" s="135"/>
      <c r="B1054" s="20"/>
      <c r="C1054" s="4"/>
      <c r="D1054" s="1251"/>
      <c r="E1054" s="1251"/>
      <c r="F1054" s="165"/>
      <c r="G1054" s="551">
        <f>G1053+G1052</f>
        <v>413.10577000000006</v>
      </c>
      <c r="H1054" s="433" t="s">
        <v>32</v>
      </c>
      <c r="I1054" s="517"/>
      <c r="Q1054" s="164"/>
      <c r="R1054" s="164"/>
    </row>
    <row r="1055" spans="1:18" s="149" customFormat="1" ht="15">
      <c r="A1055" s="135"/>
      <c r="C1055" s="4"/>
      <c r="D1055" s="1251"/>
      <c r="E1055" s="1251"/>
      <c r="F1055" s="165"/>
      <c r="G1055" s="525"/>
      <c r="H1055" s="541"/>
      <c r="I1055" s="517"/>
      <c r="Q1055" s="164"/>
      <c r="R1055" s="164"/>
    </row>
    <row r="1056" spans="1:18" s="149" customFormat="1">
      <c r="A1056" s="135">
        <v>14</v>
      </c>
      <c r="B1056" s="514" t="s">
        <v>1166</v>
      </c>
      <c r="E1056" s="121"/>
      <c r="G1056" s="498"/>
      <c r="H1056" s="430"/>
      <c r="I1056" s="164"/>
      <c r="Q1056" s="164"/>
      <c r="R1056" s="164"/>
    </row>
    <row r="1057" spans="1:18" s="149" customFormat="1" ht="15">
      <c r="A1057" s="135"/>
      <c r="B1057" s="215" t="s">
        <v>1051</v>
      </c>
      <c r="C1057" s="186"/>
      <c r="D1057" s="186"/>
      <c r="E1057" s="186"/>
      <c r="F1057" s="186"/>
      <c r="G1057" s="538"/>
      <c r="H1057" s="430"/>
      <c r="I1057" s="164"/>
      <c r="Q1057" s="164"/>
      <c r="R1057" s="164"/>
    </row>
    <row r="1058" spans="1:18" s="149" customFormat="1" ht="15">
      <c r="A1058" s="135"/>
      <c r="B1058" s="545" t="s">
        <v>564</v>
      </c>
      <c r="C1058" s="121"/>
      <c r="D1058" s="120"/>
      <c r="E1058" s="121"/>
      <c r="F1058" s="120"/>
      <c r="G1058" s="432"/>
      <c r="H1058" s="430"/>
      <c r="I1058" s="164"/>
      <c r="Q1058" s="164"/>
      <c r="R1058" s="164"/>
    </row>
    <row r="1059" spans="1:18" s="149" customFormat="1">
      <c r="A1059" s="135"/>
      <c r="B1059" s="20" t="s">
        <v>1232</v>
      </c>
      <c r="C1059" s="121">
        <v>8</v>
      </c>
      <c r="D1059" s="120">
        <v>1.1599999999999999</v>
      </c>
      <c r="E1059" s="121">
        <v>1.41</v>
      </c>
      <c r="F1059" s="120"/>
      <c r="G1059" s="432">
        <f>E1059*D1059*C1059</f>
        <v>13.084799999999998</v>
      </c>
      <c r="H1059" s="166"/>
      <c r="I1059" s="164"/>
      <c r="Q1059" s="164"/>
      <c r="R1059" s="164"/>
    </row>
    <row r="1060" spans="1:18" s="149" customFormat="1">
      <c r="A1060" s="135"/>
      <c r="C1060" s="121">
        <v>16</v>
      </c>
      <c r="D1060" s="120">
        <v>1.085</v>
      </c>
      <c r="E1060" s="120">
        <v>1.41</v>
      </c>
      <c r="F1060" s="121"/>
      <c r="G1060" s="432">
        <f>E1060*D1060*C1060</f>
        <v>24.477599999999999</v>
      </c>
      <c r="H1060" s="166"/>
      <c r="I1060" s="164"/>
      <c r="Q1060" s="164"/>
      <c r="R1060" s="164"/>
    </row>
    <row r="1061" spans="1:18" s="149" customFormat="1">
      <c r="A1061" s="135"/>
      <c r="C1061" s="121">
        <v>4</v>
      </c>
      <c r="D1061" s="120">
        <v>1.5649999999999999</v>
      </c>
      <c r="E1061" s="120">
        <v>1.1599999999999999</v>
      </c>
      <c r="F1061" s="121"/>
      <c r="G1061" s="432">
        <f>E1061*D1061*C1061</f>
        <v>7.2615999999999996</v>
      </c>
      <c r="H1061" s="166"/>
      <c r="I1061" s="164"/>
      <c r="Q1061" s="164"/>
      <c r="R1061" s="164"/>
    </row>
    <row r="1062" spans="1:18" s="149" customFormat="1">
      <c r="A1062" s="135"/>
      <c r="B1062" s="36"/>
      <c r="C1062" s="121">
        <v>4</v>
      </c>
      <c r="D1062" s="120">
        <v>1.5649999999999999</v>
      </c>
      <c r="E1062" s="121">
        <v>1.085</v>
      </c>
      <c r="F1062" s="120"/>
      <c r="G1062" s="432">
        <f>E1062*D1062*C1062</f>
        <v>6.7920999999999996</v>
      </c>
      <c r="H1062" s="166"/>
      <c r="I1062" s="164"/>
      <c r="Q1062" s="164"/>
      <c r="R1062" s="164"/>
    </row>
    <row r="1063" spans="1:18" s="149" customFormat="1">
      <c r="A1063" s="135"/>
      <c r="B1063" s="36"/>
      <c r="C1063" s="121">
        <v>4</v>
      </c>
      <c r="D1063" s="1256">
        <f>19249718.9834/1000000</f>
        <v>19.249718983399998</v>
      </c>
      <c r="E1063" s="1256"/>
      <c r="F1063" s="120"/>
      <c r="G1063" s="432">
        <f>D1063*C1063</f>
        <v>76.99887593359999</v>
      </c>
      <c r="H1063" s="166"/>
      <c r="I1063" s="164"/>
      <c r="J1063" s="121"/>
      <c r="Q1063" s="164"/>
      <c r="R1063" s="164"/>
    </row>
    <row r="1064" spans="1:18" s="149" customFormat="1">
      <c r="A1064" s="135"/>
      <c r="B1064" s="36"/>
      <c r="C1064" s="121">
        <v>1</v>
      </c>
      <c r="D1064" s="120">
        <v>2.1</v>
      </c>
      <c r="E1064" s="120">
        <v>1.35</v>
      </c>
      <c r="F1064" s="120"/>
      <c r="G1064" s="432">
        <f>E1064*D1064*C1064</f>
        <v>2.8350000000000004</v>
      </c>
      <c r="H1064" s="166"/>
      <c r="I1064" s="164"/>
      <c r="J1064" s="121"/>
      <c r="Q1064" s="164"/>
      <c r="R1064" s="164"/>
    </row>
    <row r="1065" spans="1:18" s="149" customFormat="1">
      <c r="A1065" s="135"/>
      <c r="B1065" s="20" t="s">
        <v>1326</v>
      </c>
      <c r="C1065" s="121">
        <v>1</v>
      </c>
      <c r="D1065" s="120">
        <v>2.81</v>
      </c>
      <c r="E1065" s="120">
        <v>2.52</v>
      </c>
      <c r="F1065" s="120"/>
      <c r="G1065" s="432">
        <f>E1065*D1065*C1065</f>
        <v>7.0811999999999999</v>
      </c>
      <c r="H1065" s="166"/>
      <c r="I1065" s="164"/>
      <c r="J1065" s="121"/>
      <c r="K1065" s="121"/>
      <c r="L1065" s="20"/>
      <c r="M1065" s="121"/>
      <c r="N1065" s="121"/>
      <c r="O1065" s="121"/>
      <c r="P1065" s="166"/>
      <c r="Q1065" s="164"/>
      <c r="R1065" s="164"/>
    </row>
    <row r="1066" spans="1:18" s="149" customFormat="1">
      <c r="A1066" s="135"/>
      <c r="C1066" s="121">
        <v>1</v>
      </c>
      <c r="D1066" s="120">
        <v>2.0299999999999998</v>
      </c>
      <c r="E1066" s="120">
        <v>1.72</v>
      </c>
      <c r="F1066" s="120"/>
      <c r="G1066" s="432">
        <f>E1066*D1066*C1066</f>
        <v>3.4915999999999996</v>
      </c>
      <c r="H1066" s="166"/>
      <c r="I1066" s="164"/>
      <c r="J1066" s="121"/>
      <c r="K1066" s="121"/>
      <c r="L1066" s="20"/>
      <c r="M1066" s="121"/>
      <c r="N1066" s="121"/>
      <c r="O1066" s="121"/>
      <c r="P1066" s="166"/>
      <c r="Q1066" s="164"/>
      <c r="R1066" s="164"/>
    </row>
    <row r="1067" spans="1:18" s="149" customFormat="1">
      <c r="A1067" s="135"/>
      <c r="B1067" s="20" t="s">
        <v>1325</v>
      </c>
      <c r="C1067" s="121">
        <v>1</v>
      </c>
      <c r="D1067" s="121">
        <f>9.33*0.3</f>
        <v>2.7989999999999999</v>
      </c>
      <c r="E1067" s="121">
        <f>8.41*0.3</f>
        <v>2.5230000000000001</v>
      </c>
      <c r="G1067" s="432">
        <f>E1067*D1067*C1067</f>
        <v>7.061877</v>
      </c>
      <c r="H1067" s="166"/>
      <c r="I1067" s="164"/>
      <c r="J1067" s="121"/>
      <c r="K1067" s="121"/>
      <c r="L1067" s="20"/>
      <c r="M1067" s="186"/>
      <c r="N1067" s="186"/>
      <c r="O1067" s="186"/>
      <c r="P1067" s="166"/>
      <c r="Q1067" s="164"/>
      <c r="R1067" s="164"/>
    </row>
    <row r="1068" spans="1:18" s="149" customFormat="1">
      <c r="A1068" s="135"/>
      <c r="B1068" s="20" t="s">
        <v>1327</v>
      </c>
      <c r="C1068" s="121">
        <v>1</v>
      </c>
      <c r="D1068" s="120">
        <f>25.66*0.3</f>
        <v>7.6979999999999995</v>
      </c>
      <c r="E1068" s="120">
        <f>19.16*0.3</f>
        <v>5.7480000000000002</v>
      </c>
      <c r="G1068" s="432">
        <f t="shared" ref="G1068:G1088" si="37">E1068*D1068*C1068</f>
        <v>44.248103999999998</v>
      </c>
      <c r="H1068" s="166"/>
      <c r="I1068" s="164"/>
      <c r="J1068" s="121"/>
      <c r="K1068" s="121"/>
      <c r="L1068" s="120"/>
      <c r="N1068" s="432"/>
      <c r="O1068" s="540"/>
      <c r="P1068" s="166"/>
      <c r="Q1068" s="164"/>
      <c r="R1068" s="164"/>
    </row>
    <row r="1069" spans="1:18" s="149" customFormat="1">
      <c r="A1069" s="135"/>
      <c r="B1069" s="20"/>
      <c r="C1069" s="121">
        <v>1</v>
      </c>
      <c r="D1069" s="120">
        <v>1.52</v>
      </c>
      <c r="E1069" s="120">
        <v>2.0299999999999998</v>
      </c>
      <c r="G1069" s="432">
        <f t="shared" si="37"/>
        <v>3.0855999999999999</v>
      </c>
      <c r="H1069" s="166"/>
      <c r="I1069" s="164"/>
      <c r="J1069" s="121"/>
      <c r="K1069" s="121"/>
      <c r="L1069" s="121"/>
      <c r="N1069" s="432"/>
      <c r="O1069" s="540"/>
      <c r="P1069" s="166"/>
      <c r="Q1069" s="164"/>
      <c r="R1069" s="164"/>
    </row>
    <row r="1070" spans="1:18" s="149" customFormat="1">
      <c r="A1070" s="135"/>
      <c r="B1070" s="20" t="s">
        <v>1372</v>
      </c>
      <c r="C1070" s="121">
        <v>1</v>
      </c>
      <c r="D1070" s="120">
        <v>2.2250000000000001</v>
      </c>
      <c r="E1070" s="120">
        <v>1.9</v>
      </c>
      <c r="G1070" s="432">
        <f t="shared" si="37"/>
        <v>4.2275</v>
      </c>
      <c r="H1070" s="166"/>
      <c r="I1070" s="164"/>
      <c r="J1070" s="121"/>
      <c r="K1070" s="121"/>
      <c r="L1070" s="121"/>
      <c r="N1070" s="432"/>
      <c r="O1070" s="540"/>
      <c r="P1070" s="166"/>
      <c r="Q1070" s="164"/>
      <c r="R1070" s="164"/>
    </row>
    <row r="1071" spans="1:18" s="149" customFormat="1">
      <c r="A1071" s="135"/>
      <c r="B1071" s="20" t="s">
        <v>1328</v>
      </c>
      <c r="C1071" s="4">
        <v>1</v>
      </c>
      <c r="D1071" s="4">
        <v>7.69</v>
      </c>
      <c r="E1071" s="4">
        <v>0.94499999999999995</v>
      </c>
      <c r="F1071" s="264"/>
      <c r="G1071" s="643">
        <f t="shared" si="37"/>
        <v>7.2670500000000002</v>
      </c>
      <c r="H1071" s="166"/>
      <c r="I1071" s="164"/>
      <c r="J1071" s="121"/>
      <c r="K1071" s="121"/>
      <c r="L1071" s="121"/>
      <c r="N1071" s="432"/>
      <c r="O1071" s="540"/>
      <c r="P1071" s="166"/>
      <c r="Q1071" s="164"/>
      <c r="R1071" s="164"/>
    </row>
    <row r="1072" spans="1:18" s="149" customFormat="1">
      <c r="A1072" s="135"/>
      <c r="B1072" s="264"/>
      <c r="C1072" s="4">
        <v>1</v>
      </c>
      <c r="D1072" s="4">
        <v>1.26</v>
      </c>
      <c r="E1072" s="16">
        <v>0.6</v>
      </c>
      <c r="F1072" s="264"/>
      <c r="G1072" s="643">
        <f t="shared" si="37"/>
        <v>0.75600000000000001</v>
      </c>
      <c r="H1072" s="166"/>
      <c r="I1072" s="164"/>
      <c r="J1072" s="121"/>
      <c r="K1072" s="121"/>
      <c r="L1072" s="121"/>
      <c r="N1072" s="432"/>
      <c r="O1072" s="540"/>
      <c r="P1072" s="166"/>
      <c r="Q1072" s="164"/>
      <c r="R1072" s="164"/>
    </row>
    <row r="1073" spans="1:18" s="149" customFormat="1" ht="15">
      <c r="A1073" s="135"/>
      <c r="B1073" s="264"/>
      <c r="C1073" s="4">
        <v>1</v>
      </c>
      <c r="D1073" s="4">
        <v>6.12</v>
      </c>
      <c r="E1073" s="16">
        <v>0.6</v>
      </c>
      <c r="F1073" s="264"/>
      <c r="G1073" s="643">
        <f t="shared" si="37"/>
        <v>3.6719999999999997</v>
      </c>
      <c r="H1073" s="166"/>
      <c r="I1073" s="164"/>
      <c r="J1073" s="121"/>
      <c r="K1073" s="240"/>
      <c r="L1073" s="55"/>
      <c r="M1073" s="184"/>
      <c r="N1073" s="184"/>
      <c r="O1073" s="184"/>
      <c r="P1073" s="613"/>
      <c r="Q1073" s="164"/>
      <c r="R1073" s="164"/>
    </row>
    <row r="1074" spans="1:18" s="149" customFormat="1">
      <c r="A1074" s="135"/>
      <c r="B1074" s="264"/>
      <c r="C1074" s="4">
        <v>1</v>
      </c>
      <c r="D1074" s="4">
        <v>2.2250000000000001</v>
      </c>
      <c r="E1074" s="16">
        <v>0.6</v>
      </c>
      <c r="F1074" s="264"/>
      <c r="G1074" s="643">
        <f t="shared" si="37"/>
        <v>1.335</v>
      </c>
      <c r="H1074" s="166"/>
      <c r="I1074" s="164"/>
      <c r="J1074" s="121"/>
      <c r="Q1074" s="164"/>
      <c r="R1074" s="164"/>
    </row>
    <row r="1075" spans="1:18" s="149" customFormat="1">
      <c r="A1075" s="135"/>
      <c r="B1075" s="264" t="s">
        <v>1329</v>
      </c>
      <c r="C1075" s="4">
        <v>1</v>
      </c>
      <c r="D1075" s="4">
        <v>14.25</v>
      </c>
      <c r="E1075" s="4">
        <v>5.74</v>
      </c>
      <c r="F1075" s="20"/>
      <c r="G1075" s="643">
        <f t="shared" si="37"/>
        <v>81.795000000000002</v>
      </c>
      <c r="H1075" s="166"/>
      <c r="I1075" s="164"/>
      <c r="J1075" s="121"/>
      <c r="Q1075" s="164"/>
      <c r="R1075" s="164"/>
    </row>
    <row r="1076" spans="1:18" s="149" customFormat="1">
      <c r="A1076" s="135"/>
      <c r="B1076" s="20" t="s">
        <v>1330</v>
      </c>
      <c r="C1076" s="4">
        <v>6</v>
      </c>
      <c r="D1076" s="4">
        <f>36.41*0.3</f>
        <v>10.922999999999998</v>
      </c>
      <c r="E1076" s="4">
        <f>15.91*0.3</f>
        <v>4.7729999999999997</v>
      </c>
      <c r="F1076" s="20"/>
      <c r="G1076" s="643">
        <f t="shared" si="37"/>
        <v>312.81287399999997</v>
      </c>
      <c r="H1076" s="166"/>
      <c r="I1076" s="164"/>
      <c r="J1076" s="121"/>
      <c r="Q1076" s="164"/>
      <c r="R1076" s="164"/>
    </row>
    <row r="1077" spans="1:18" s="149" customFormat="1">
      <c r="A1077" s="135"/>
      <c r="B1077" s="20" t="s">
        <v>1304</v>
      </c>
      <c r="C1077" s="4">
        <v>1</v>
      </c>
      <c r="D1077" s="4">
        <f>12.33*0.3</f>
        <v>3.6989999999999998</v>
      </c>
      <c r="E1077" s="4">
        <f>15.91*0.3</f>
        <v>4.7729999999999997</v>
      </c>
      <c r="F1077" s="20"/>
      <c r="G1077" s="643">
        <f t="shared" si="37"/>
        <v>17.655327</v>
      </c>
      <c r="H1077" s="166"/>
      <c r="I1077" s="164"/>
      <c r="J1077" s="121"/>
      <c r="Q1077" s="164"/>
      <c r="R1077" s="164"/>
    </row>
    <row r="1078" spans="1:18" s="149" customFormat="1">
      <c r="A1078" s="135"/>
      <c r="B1078" s="20" t="s">
        <v>1331</v>
      </c>
      <c r="C1078" s="4">
        <v>1</v>
      </c>
      <c r="D1078" s="4">
        <f>12.33*0.3</f>
        <v>3.6989999999999998</v>
      </c>
      <c r="E1078" s="4">
        <f>15.91*0.3</f>
        <v>4.7729999999999997</v>
      </c>
      <c r="F1078" s="20"/>
      <c r="G1078" s="643">
        <f t="shared" si="37"/>
        <v>17.655327</v>
      </c>
      <c r="H1078" s="166"/>
      <c r="I1078" s="164"/>
      <c r="J1078" s="121"/>
      <c r="Q1078" s="164"/>
      <c r="R1078" s="164"/>
    </row>
    <row r="1079" spans="1:18" s="149" customFormat="1" ht="15">
      <c r="A1079" s="135"/>
      <c r="B1079" s="20" t="s">
        <v>1302</v>
      </c>
      <c r="C1079" s="4">
        <v>4</v>
      </c>
      <c r="D1079" s="4">
        <f>14*0.3</f>
        <v>4.2</v>
      </c>
      <c r="E1079" s="4">
        <f>25.58*0.3</f>
        <v>7.6739999999999995</v>
      </c>
      <c r="F1079" s="20"/>
      <c r="G1079" s="643">
        <f t="shared" si="37"/>
        <v>128.92320000000001</v>
      </c>
      <c r="H1079" s="166"/>
      <c r="I1079" s="164"/>
      <c r="J1079" s="121"/>
      <c r="K1079" s="240"/>
      <c r="L1079" s="55"/>
      <c r="M1079" s="184"/>
      <c r="N1079" s="184"/>
      <c r="O1079" s="184"/>
      <c r="P1079" s="631"/>
      <c r="Q1079" s="164"/>
      <c r="R1079" s="164"/>
    </row>
    <row r="1080" spans="1:18" s="149" customFormat="1" ht="15">
      <c r="A1080" s="135"/>
      <c r="B1080" s="20"/>
      <c r="C1080" s="4">
        <v>2</v>
      </c>
      <c r="D1080" s="4">
        <f>74*0.3</f>
        <v>22.2</v>
      </c>
      <c r="E1080" s="4">
        <f>8*0.3</f>
        <v>2.4</v>
      </c>
      <c r="F1080" s="20"/>
      <c r="G1080" s="643">
        <f t="shared" si="37"/>
        <v>106.55999999999999</v>
      </c>
      <c r="H1080" s="166"/>
      <c r="I1080" s="164"/>
      <c r="J1080" s="121"/>
      <c r="K1080" s="240" t="s">
        <v>1214</v>
      </c>
      <c r="L1080" s="55"/>
      <c r="M1080" s="633"/>
      <c r="N1080" s="184"/>
      <c r="O1080" s="184"/>
      <c r="P1080" s="613"/>
      <c r="Q1080" s="164"/>
      <c r="R1080" s="164"/>
    </row>
    <row r="1081" spans="1:18" s="149" customFormat="1">
      <c r="A1081" s="135"/>
      <c r="B1081" s="20"/>
      <c r="C1081" s="4">
        <v>2</v>
      </c>
      <c r="D1081" s="4">
        <f>38.08*0.3</f>
        <v>11.423999999999999</v>
      </c>
      <c r="E1081" s="4">
        <f>8*0.3</f>
        <v>2.4</v>
      </c>
      <c r="F1081" s="20"/>
      <c r="G1081" s="643">
        <f t="shared" si="37"/>
        <v>54.835199999999993</v>
      </c>
      <c r="H1081" s="166"/>
      <c r="I1081" s="164"/>
      <c r="J1081" s="171"/>
      <c r="K1081" s="149" t="s">
        <v>1224</v>
      </c>
      <c r="L1081" s="55">
        <v>24</v>
      </c>
      <c r="M1081" s="184">
        <v>1.2</v>
      </c>
      <c r="N1081" s="184">
        <v>0.3</v>
      </c>
      <c r="O1081" s="184"/>
      <c r="P1081" s="593">
        <f>N1081*M1081*L1081*2</f>
        <v>17.28</v>
      </c>
      <c r="Q1081" s="164"/>
      <c r="R1081" s="164"/>
    </row>
    <row r="1082" spans="1:18" s="149" customFormat="1">
      <c r="A1082" s="135"/>
      <c r="B1082" s="20" t="s">
        <v>1332</v>
      </c>
      <c r="C1082" s="4">
        <v>1</v>
      </c>
      <c r="D1082" s="4">
        <f>9.91*0.3</f>
        <v>2.9729999999999999</v>
      </c>
      <c r="E1082" s="4">
        <f>15*0.3</f>
        <v>4.5</v>
      </c>
      <c r="F1082" s="20"/>
      <c r="G1082" s="643">
        <f t="shared" si="37"/>
        <v>13.378499999999999</v>
      </c>
      <c r="H1082" s="166"/>
      <c r="I1082" s="164"/>
      <c r="J1082" s="171"/>
      <c r="K1082" s="224" t="s">
        <v>1224</v>
      </c>
      <c r="L1082" s="55">
        <v>16</v>
      </c>
      <c r="M1082" s="184">
        <v>1.5</v>
      </c>
      <c r="N1082" s="184">
        <v>0.3</v>
      </c>
      <c r="O1082" s="184"/>
      <c r="P1082" s="593">
        <f>N1082*M1082*L1082</f>
        <v>7.1999999999999993</v>
      </c>
      <c r="Q1082" s="164"/>
      <c r="R1082" s="164"/>
    </row>
    <row r="1083" spans="1:18" s="149" customFormat="1">
      <c r="A1083" s="135"/>
      <c r="B1083" s="20"/>
      <c r="C1083" s="4">
        <v>2</v>
      </c>
      <c r="D1083" s="4">
        <v>2.4</v>
      </c>
      <c r="E1083" s="4">
        <v>0.5</v>
      </c>
      <c r="F1083" s="20"/>
      <c r="G1083" s="643">
        <f t="shared" si="37"/>
        <v>2.4</v>
      </c>
      <c r="H1083" s="166"/>
      <c r="I1083" s="164"/>
      <c r="J1083" s="171"/>
      <c r="K1083" s="224" t="s">
        <v>1361</v>
      </c>
      <c r="L1083" s="55">
        <v>2</v>
      </c>
      <c r="M1083" s="184">
        <v>1.8</v>
      </c>
      <c r="N1083" s="184">
        <v>0.3</v>
      </c>
      <c r="O1083" s="184"/>
      <c r="P1083" s="593">
        <f>N1083*M1083*L1083*2</f>
        <v>2.16</v>
      </c>
      <c r="Q1083" s="164"/>
      <c r="R1083" s="164"/>
    </row>
    <row r="1084" spans="1:18" s="149" customFormat="1">
      <c r="A1084" s="135"/>
      <c r="B1084" s="20"/>
      <c r="C1084" s="4">
        <v>1</v>
      </c>
      <c r="D1084" s="4">
        <v>1.4</v>
      </c>
      <c r="E1084" s="4">
        <v>1.8</v>
      </c>
      <c r="F1084" s="20"/>
      <c r="G1084" s="643">
        <f t="shared" si="37"/>
        <v>2.52</v>
      </c>
      <c r="H1084" s="166"/>
      <c r="I1084" s="164"/>
      <c r="J1084" s="171"/>
      <c r="K1084" s="224" t="s">
        <v>1361</v>
      </c>
      <c r="L1084" s="55">
        <v>1</v>
      </c>
      <c r="M1084" s="184">
        <v>2.1</v>
      </c>
      <c r="N1084" s="184">
        <v>0.3</v>
      </c>
      <c r="O1084" s="184"/>
      <c r="P1084" s="593">
        <f>N1084*M1084*L1084</f>
        <v>0.63</v>
      </c>
      <c r="Q1084" s="164"/>
      <c r="R1084" s="164"/>
    </row>
    <row r="1085" spans="1:18" s="149" customFormat="1">
      <c r="A1085" s="135"/>
      <c r="B1085" s="20" t="s">
        <v>1334</v>
      </c>
      <c r="C1085" s="121">
        <v>1</v>
      </c>
      <c r="D1085" s="120">
        <v>8.08</v>
      </c>
      <c r="E1085" s="120">
        <v>3.39</v>
      </c>
      <c r="F1085" s="165"/>
      <c r="G1085" s="643">
        <f t="shared" si="37"/>
        <v>27.391200000000001</v>
      </c>
      <c r="H1085" s="166"/>
      <c r="I1085" s="164"/>
      <c r="J1085" s="171"/>
      <c r="K1085" s="20" t="s">
        <v>1362</v>
      </c>
      <c r="L1085" s="55">
        <v>33</v>
      </c>
      <c r="M1085" s="184">
        <v>0.9</v>
      </c>
      <c r="N1085" s="184">
        <v>0.3</v>
      </c>
      <c r="O1085" s="184"/>
      <c r="P1085" s="594">
        <f>N1085*M1085*L1085</f>
        <v>8.91</v>
      </c>
      <c r="Q1085" s="164"/>
      <c r="R1085" s="164"/>
    </row>
    <row r="1086" spans="1:18" s="164" customFormat="1">
      <c r="A1086" s="249"/>
      <c r="B1086" s="171" t="s">
        <v>1381</v>
      </c>
      <c r="C1086" s="121">
        <v>4</v>
      </c>
      <c r="D1086" s="121">
        <f>9.5*0.3</f>
        <v>2.85</v>
      </c>
      <c r="E1086" s="121">
        <f>5.16*0.3</f>
        <v>1.548</v>
      </c>
      <c r="F1086" s="165"/>
      <c r="G1086" s="643">
        <f t="shared" si="37"/>
        <v>17.647200000000002</v>
      </c>
      <c r="H1086" s="166"/>
      <c r="J1086" s="171"/>
      <c r="K1086" s="20"/>
      <c r="L1086" s="121"/>
      <c r="M1086" s="120"/>
      <c r="N1086" s="120"/>
      <c r="O1086" s="120"/>
      <c r="P1086" s="631">
        <f>SUM(P1081:P1085)</f>
        <v>36.18</v>
      </c>
    </row>
    <row r="1087" spans="1:18" s="164" customFormat="1">
      <c r="A1087" s="249"/>
      <c r="B1087" s="171"/>
      <c r="C1087" s="121">
        <v>2</v>
      </c>
      <c r="D1087" s="121">
        <f>3.25*0.3</f>
        <v>0.97499999999999998</v>
      </c>
      <c r="E1087" s="121">
        <f>5.16*0.3</f>
        <v>1.548</v>
      </c>
      <c r="F1087" s="165"/>
      <c r="G1087" s="643">
        <f t="shared" si="37"/>
        <v>3.0186000000000002</v>
      </c>
      <c r="H1087" s="166"/>
      <c r="J1087" s="171"/>
      <c r="K1087" s="165"/>
      <c r="L1087" s="165"/>
      <c r="M1087" s="165"/>
      <c r="N1087" s="165"/>
      <c r="O1087" s="540"/>
      <c r="P1087" s="166"/>
    </row>
    <row r="1088" spans="1:18" s="164" customFormat="1">
      <c r="A1088" s="249"/>
      <c r="B1088" s="171"/>
      <c r="C1088" s="186">
        <v>4</v>
      </c>
      <c r="D1088" s="186">
        <f>5.16*0.3</f>
        <v>1.548</v>
      </c>
      <c r="E1088" s="186">
        <f>5.16*0.3</f>
        <v>1.548</v>
      </c>
      <c r="F1088" s="165"/>
      <c r="G1088" s="643">
        <f t="shared" si="37"/>
        <v>9.5852160000000008</v>
      </c>
      <c r="H1088" s="166"/>
      <c r="J1088" s="171"/>
      <c r="K1088" s="165"/>
      <c r="L1088" s="165"/>
      <c r="M1088" s="165"/>
      <c r="N1088" s="165"/>
      <c r="O1088" s="540"/>
      <c r="P1088" s="166"/>
    </row>
    <row r="1089" spans="1:18" s="164" customFormat="1">
      <c r="A1089" s="249"/>
      <c r="B1089" s="171" t="s">
        <v>975</v>
      </c>
      <c r="C1089" s="113"/>
      <c r="D1089" s="113"/>
      <c r="E1089" s="113"/>
      <c r="F1089" s="165"/>
      <c r="G1089" s="643"/>
      <c r="H1089" s="166"/>
      <c r="J1089" s="171"/>
      <c r="K1089" s="165"/>
      <c r="L1089" s="165"/>
      <c r="M1089" s="165"/>
      <c r="N1089" s="165"/>
      <c r="O1089" s="540"/>
      <c r="P1089" s="166"/>
    </row>
    <row r="1090" spans="1:18" s="164" customFormat="1">
      <c r="A1090" s="249"/>
      <c r="B1090" s="149" t="s">
        <v>1224</v>
      </c>
      <c r="C1090" s="55">
        <f>24*2</f>
        <v>48</v>
      </c>
      <c r="D1090" s="184">
        <v>1.2</v>
      </c>
      <c r="E1090" s="184">
        <v>0.3</v>
      </c>
      <c r="F1090" s="184"/>
      <c r="G1090" s="593">
        <f>E1090*D1090*C1090*2</f>
        <v>34.56</v>
      </c>
      <c r="H1090" s="166"/>
      <c r="J1090" s="171"/>
      <c r="K1090" s="165"/>
      <c r="L1090" s="165"/>
      <c r="M1090" s="165"/>
      <c r="N1090" s="165"/>
      <c r="O1090" s="540"/>
      <c r="P1090" s="166"/>
    </row>
    <row r="1091" spans="1:18" s="164" customFormat="1">
      <c r="A1091" s="249"/>
      <c r="B1091" s="20" t="s">
        <v>1224</v>
      </c>
      <c r="C1091" s="55">
        <f>17*2</f>
        <v>34</v>
      </c>
      <c r="D1091" s="184">
        <v>1.5</v>
      </c>
      <c r="E1091" s="184">
        <v>0.3</v>
      </c>
      <c r="F1091" s="184"/>
      <c r="G1091" s="593">
        <f>E1091*D1091*C1091</f>
        <v>15.299999999999999</v>
      </c>
      <c r="H1091" s="166"/>
      <c r="J1091" s="171"/>
      <c r="K1091" s="165"/>
      <c r="L1091" s="165"/>
      <c r="M1091" s="165"/>
      <c r="N1091" s="165"/>
      <c r="O1091" s="540"/>
      <c r="P1091" s="166"/>
    </row>
    <row r="1092" spans="1:18" s="164" customFormat="1">
      <c r="A1092" s="249"/>
      <c r="B1092" s="20" t="s">
        <v>1361</v>
      </c>
      <c r="C1092" s="55">
        <f>4*2</f>
        <v>8</v>
      </c>
      <c r="D1092" s="184">
        <v>2.1</v>
      </c>
      <c r="E1092" s="184">
        <v>0.3</v>
      </c>
      <c r="F1092" s="184"/>
      <c r="G1092" s="593">
        <f>C1092*D1092*E1092</f>
        <v>5.04</v>
      </c>
      <c r="H1092" s="166"/>
      <c r="J1092" s="171"/>
      <c r="K1092" s="165"/>
      <c r="L1092" s="165"/>
      <c r="M1092" s="165"/>
      <c r="N1092" s="165"/>
      <c r="O1092" s="540"/>
      <c r="P1092" s="166"/>
    </row>
    <row r="1093" spans="1:18" s="164" customFormat="1">
      <c r="A1093" s="249"/>
      <c r="B1093" s="224" t="s">
        <v>1361</v>
      </c>
      <c r="C1093" s="55">
        <f>2*2</f>
        <v>4</v>
      </c>
      <c r="D1093" s="184">
        <v>1.8</v>
      </c>
      <c r="E1093" s="184">
        <v>0.3</v>
      </c>
      <c r="F1093" s="184"/>
      <c r="G1093" s="593">
        <f>C1093*D1093*E1093*2</f>
        <v>4.32</v>
      </c>
      <c r="H1093" s="166"/>
      <c r="J1093" s="171"/>
      <c r="K1093" s="165"/>
      <c r="L1093" s="165"/>
      <c r="M1093" s="165"/>
      <c r="N1093" s="165"/>
      <c r="O1093" s="540"/>
      <c r="P1093" s="166"/>
    </row>
    <row r="1094" spans="1:18" s="164" customFormat="1">
      <c r="A1094" s="249"/>
      <c r="B1094" s="20" t="s">
        <v>1362</v>
      </c>
      <c r="C1094" s="55">
        <f>33*2</f>
        <v>66</v>
      </c>
      <c r="D1094" s="184">
        <v>0.9</v>
      </c>
      <c r="E1094" s="184">
        <v>0.3</v>
      </c>
      <c r="F1094" s="184"/>
      <c r="G1094" s="594">
        <f>E1094*D1094*C1094</f>
        <v>17.82</v>
      </c>
      <c r="H1094" s="166"/>
      <c r="J1094" s="171"/>
      <c r="K1094" s="165"/>
      <c r="L1094" s="165"/>
      <c r="M1094" s="165"/>
      <c r="N1094" s="165"/>
      <c r="O1094" s="540"/>
      <c r="P1094" s="166"/>
    </row>
    <row r="1095" spans="1:18" s="164" customFormat="1">
      <c r="A1095" s="249"/>
      <c r="B1095" s="20"/>
      <c r="C1095" s="55"/>
      <c r="D1095" s="184"/>
      <c r="E1095" s="184"/>
      <c r="F1095" s="184"/>
      <c r="G1095" s="593">
        <f>SUM(G1059:G1094)</f>
        <v>1086.8935509335995</v>
      </c>
      <c r="H1095" s="166"/>
      <c r="J1095" s="171"/>
      <c r="K1095" s="165"/>
      <c r="L1095" s="165"/>
      <c r="M1095" s="165"/>
      <c r="N1095" s="165"/>
      <c r="O1095" s="540"/>
      <c r="P1095" s="166"/>
    </row>
    <row r="1096" spans="1:18" s="164" customFormat="1">
      <c r="A1096" s="249"/>
      <c r="B1096" s="20"/>
      <c r="C1096" s="55"/>
      <c r="D1096" s="184"/>
      <c r="E1096" s="184"/>
      <c r="F1096" s="184"/>
      <c r="G1096" s="656">
        <f>G1095*10%</f>
        <v>108.68935509335995</v>
      </c>
      <c r="H1096" s="166"/>
      <c r="J1096" s="171"/>
      <c r="K1096" s="165"/>
      <c r="L1096" s="165"/>
      <c r="M1096" s="165"/>
      <c r="N1096" s="165"/>
      <c r="O1096" s="540"/>
      <c r="P1096" s="166"/>
    </row>
    <row r="1097" spans="1:18" s="149" customFormat="1">
      <c r="A1097" s="135"/>
      <c r="B1097" s="171"/>
      <c r="C1097" s="165"/>
      <c r="D1097" s="173"/>
      <c r="E1097" s="173"/>
      <c r="F1097" s="165"/>
      <c r="G1097" s="551">
        <f>G1096+G1095</f>
        <v>1195.5829060269593</v>
      </c>
      <c r="H1097" s="527" t="s">
        <v>32</v>
      </c>
      <c r="I1097" s="164"/>
      <c r="J1097" s="171"/>
      <c r="K1097" s="121"/>
      <c r="L1097" s="121"/>
      <c r="M1097" s="121"/>
      <c r="N1097" s="121"/>
      <c r="O1097" s="540"/>
      <c r="P1097" s="166"/>
      <c r="Q1097" s="164"/>
      <c r="R1097" s="164"/>
    </row>
    <row r="1098" spans="1:18" s="149" customFormat="1" ht="15">
      <c r="A1098" s="135"/>
      <c r="B1098" s="171"/>
      <c r="C1098" s="113"/>
      <c r="D1098" s="113"/>
      <c r="E1098" s="113"/>
      <c r="F1098" s="113"/>
      <c r="G1098" s="526"/>
      <c r="H1098" s="541"/>
      <c r="I1098" s="164"/>
      <c r="J1098" s="547"/>
      <c r="K1098" s="113"/>
      <c r="L1098" s="113"/>
      <c r="M1098" s="113"/>
      <c r="N1098" s="113"/>
      <c r="O1098" s="548"/>
      <c r="P1098" s="166"/>
      <c r="Q1098" s="164"/>
      <c r="R1098" s="164"/>
    </row>
    <row r="1099" spans="1:18" s="164" customFormat="1" ht="15">
      <c r="A1099" s="249"/>
      <c r="B1099" s="213" t="s">
        <v>1214</v>
      </c>
      <c r="C1099" s="113"/>
      <c r="D1099" s="113"/>
      <c r="E1099" s="113"/>
      <c r="F1099" s="113"/>
      <c r="G1099" s="589"/>
      <c r="H1099" s="166"/>
      <c r="J1099" s="547"/>
      <c r="K1099" s="113"/>
      <c r="L1099" s="113"/>
      <c r="M1099" s="113"/>
      <c r="N1099" s="113"/>
      <c r="O1099" s="549"/>
      <c r="P1099" s="541"/>
    </row>
    <row r="1100" spans="1:18" s="164" customFormat="1" ht="15">
      <c r="A1100" s="249"/>
      <c r="B1100" s="20" t="s">
        <v>1232</v>
      </c>
      <c r="C1100" s="121">
        <v>8</v>
      </c>
      <c r="D1100" s="120">
        <v>1.1599999999999999</v>
      </c>
      <c r="E1100" s="121">
        <v>1.41</v>
      </c>
      <c r="F1100" s="120"/>
      <c r="G1100" s="432">
        <f>E1100*D1100*C1100</f>
        <v>13.084799999999998</v>
      </c>
      <c r="H1100" s="166"/>
      <c r="J1100" s="547"/>
      <c r="K1100" s="113"/>
      <c r="L1100" s="113"/>
      <c r="M1100" s="113"/>
      <c r="N1100" s="113"/>
      <c r="O1100" s="540"/>
      <c r="P1100" s="166"/>
    </row>
    <row r="1101" spans="1:18" s="164" customFormat="1" ht="15">
      <c r="A1101" s="249"/>
      <c r="B1101" s="149"/>
      <c r="C1101" s="121">
        <v>16</v>
      </c>
      <c r="D1101" s="120">
        <v>1.085</v>
      </c>
      <c r="E1101" s="120">
        <v>1.41</v>
      </c>
      <c r="F1101" s="121"/>
      <c r="G1101" s="432">
        <f>E1101*D1101*C1101</f>
        <v>24.477599999999999</v>
      </c>
      <c r="H1101" s="166"/>
      <c r="J1101" s="547"/>
      <c r="K1101" s="113"/>
      <c r="L1101" s="113"/>
      <c r="M1101" s="113"/>
      <c r="N1101" s="113"/>
      <c r="O1101" s="540"/>
      <c r="P1101" s="166"/>
    </row>
    <row r="1102" spans="1:18" s="164" customFormat="1" ht="15">
      <c r="A1102" s="249"/>
      <c r="B1102" s="149"/>
      <c r="C1102" s="121">
        <v>4</v>
      </c>
      <c r="D1102" s="120">
        <v>1.5649999999999999</v>
      </c>
      <c r="E1102" s="120">
        <v>1.1599999999999999</v>
      </c>
      <c r="F1102" s="121"/>
      <c r="G1102" s="432">
        <f>E1102*D1102*C1102</f>
        <v>7.2615999999999996</v>
      </c>
      <c r="H1102" s="166"/>
      <c r="J1102" s="547"/>
      <c r="K1102" s="113"/>
      <c r="L1102" s="113"/>
      <c r="M1102" s="113"/>
      <c r="N1102" s="113"/>
      <c r="O1102" s="540"/>
      <c r="P1102" s="166"/>
    </row>
    <row r="1103" spans="1:18" s="164" customFormat="1" ht="15">
      <c r="A1103" s="249"/>
      <c r="B1103" s="36"/>
      <c r="C1103" s="121">
        <v>4</v>
      </c>
      <c r="D1103" s="120">
        <v>1.5649999999999999</v>
      </c>
      <c r="E1103" s="121">
        <v>1.085</v>
      </c>
      <c r="F1103" s="120"/>
      <c r="G1103" s="432">
        <f>E1103*D1103*C1103</f>
        <v>6.7920999999999996</v>
      </c>
      <c r="H1103" s="166"/>
      <c r="J1103" s="547"/>
      <c r="K1103" s="113"/>
      <c r="L1103" s="113"/>
      <c r="M1103" s="113"/>
      <c r="N1103" s="113"/>
      <c r="O1103" s="540"/>
      <c r="P1103" s="166"/>
    </row>
    <row r="1104" spans="1:18" s="164" customFormat="1" ht="15">
      <c r="A1104" s="249"/>
      <c r="B1104" s="36"/>
      <c r="C1104" s="121">
        <v>4</v>
      </c>
      <c r="D1104" s="1256">
        <f>19249718.9834/1000000</f>
        <v>19.249718983399998</v>
      </c>
      <c r="E1104" s="1256"/>
      <c r="F1104" s="120"/>
      <c r="G1104" s="432">
        <f>D1104*C1104</f>
        <v>76.99887593359999</v>
      </c>
      <c r="H1104" s="166"/>
      <c r="J1104" s="547"/>
      <c r="K1104" s="113"/>
      <c r="L1104" s="113"/>
      <c r="M1104" s="113"/>
      <c r="N1104" s="113"/>
      <c r="O1104" s="540"/>
      <c r="P1104" s="166"/>
    </row>
    <row r="1105" spans="1:16" s="164" customFormat="1" ht="15">
      <c r="A1105" s="249"/>
      <c r="B1105" s="36"/>
      <c r="C1105" s="121">
        <v>1</v>
      </c>
      <c r="D1105" s="120">
        <v>2.1</v>
      </c>
      <c r="E1105" s="120">
        <v>1.35</v>
      </c>
      <c r="F1105" s="120"/>
      <c r="G1105" s="432">
        <f>E1105*D1105*C1105</f>
        <v>2.8350000000000004</v>
      </c>
      <c r="H1105" s="166"/>
      <c r="J1105" s="547"/>
      <c r="K1105" s="113"/>
      <c r="L1105" s="113"/>
      <c r="M1105" s="113"/>
      <c r="N1105" s="113"/>
      <c r="O1105" s="540"/>
      <c r="P1105" s="166"/>
    </row>
    <row r="1106" spans="1:16" s="164" customFormat="1" ht="15">
      <c r="A1106" s="249"/>
      <c r="B1106" s="20" t="s">
        <v>1333</v>
      </c>
      <c r="C1106" s="121">
        <v>1</v>
      </c>
      <c r="D1106" s="121">
        <f>47.5*0.3</f>
        <v>14.25</v>
      </c>
      <c r="E1106" s="121">
        <f>24.16*0.3</f>
        <v>7.2479999999999993</v>
      </c>
      <c r="F1106" s="149"/>
      <c r="G1106" s="432">
        <f t="shared" ref="G1106:G1112" si="38">E1106*D1106*C1106</f>
        <v>103.28399999999999</v>
      </c>
      <c r="H1106" s="166"/>
      <c r="J1106" s="547"/>
      <c r="K1106" s="113"/>
      <c r="L1106" s="113"/>
      <c r="M1106" s="113"/>
      <c r="N1106" s="113"/>
      <c r="O1106" s="540"/>
      <c r="P1106" s="166"/>
    </row>
    <row r="1107" spans="1:16" s="164" customFormat="1" ht="15">
      <c r="A1107" s="249"/>
      <c r="B1107" s="20" t="s">
        <v>1330</v>
      </c>
      <c r="C1107" s="121">
        <v>6</v>
      </c>
      <c r="D1107" s="121">
        <f>36.41*0.3</f>
        <v>10.922999999999998</v>
      </c>
      <c r="E1107" s="121">
        <f>15.91*0.3</f>
        <v>4.7729999999999997</v>
      </c>
      <c r="F1107" s="149"/>
      <c r="G1107" s="432">
        <f t="shared" si="38"/>
        <v>312.81287399999997</v>
      </c>
      <c r="H1107" s="166"/>
      <c r="J1107" s="547"/>
      <c r="K1107" s="113"/>
      <c r="L1107" s="113"/>
      <c r="M1107" s="113"/>
      <c r="N1107" s="113"/>
      <c r="O1107" s="540"/>
      <c r="P1107" s="166"/>
    </row>
    <row r="1108" spans="1:16" s="164" customFormat="1" ht="15">
      <c r="A1108" s="249"/>
      <c r="B1108" s="20" t="s">
        <v>1304</v>
      </c>
      <c r="C1108" s="121">
        <v>1</v>
      </c>
      <c r="D1108" s="121">
        <f>12.33*0.3</f>
        <v>3.6989999999999998</v>
      </c>
      <c r="E1108" s="121">
        <f>15.91*0.3</f>
        <v>4.7729999999999997</v>
      </c>
      <c r="F1108" s="149"/>
      <c r="G1108" s="432">
        <f t="shared" si="38"/>
        <v>17.655327</v>
      </c>
      <c r="H1108" s="166"/>
      <c r="J1108" s="547"/>
      <c r="K1108" s="113"/>
      <c r="L1108" s="113"/>
      <c r="M1108" s="113"/>
      <c r="N1108" s="113"/>
      <c r="O1108" s="540"/>
      <c r="P1108" s="166"/>
    </row>
    <row r="1109" spans="1:16" s="164" customFormat="1" ht="15">
      <c r="A1109" s="249"/>
      <c r="B1109" s="20" t="s">
        <v>1331</v>
      </c>
      <c r="C1109" s="121">
        <v>1</v>
      </c>
      <c r="D1109" s="121">
        <f>12.33*0.3</f>
        <v>3.6989999999999998</v>
      </c>
      <c r="E1109" s="121">
        <f>15.91*0.3</f>
        <v>4.7729999999999997</v>
      </c>
      <c r="F1109" s="149"/>
      <c r="G1109" s="432">
        <f t="shared" si="38"/>
        <v>17.655327</v>
      </c>
      <c r="H1109" s="166"/>
      <c r="J1109" s="547"/>
      <c r="K1109" s="113"/>
      <c r="L1109" s="113"/>
      <c r="M1109" s="113"/>
      <c r="N1109" s="113"/>
      <c r="O1109" s="540"/>
      <c r="P1109" s="166"/>
    </row>
    <row r="1110" spans="1:16" s="164" customFormat="1" ht="15">
      <c r="A1110" s="249"/>
      <c r="B1110" s="20" t="s">
        <v>1302</v>
      </c>
      <c r="C1110" s="121">
        <v>4</v>
      </c>
      <c r="D1110" s="121">
        <f>14*0.3</f>
        <v>4.2</v>
      </c>
      <c r="E1110" s="121">
        <f>24.75*0.3</f>
        <v>7.4249999999999998</v>
      </c>
      <c r="F1110" s="149"/>
      <c r="G1110" s="432">
        <f t="shared" si="38"/>
        <v>124.74000000000001</v>
      </c>
      <c r="H1110" s="166"/>
      <c r="J1110" s="547"/>
      <c r="K1110" s="113"/>
      <c r="L1110" s="113"/>
      <c r="M1110" s="113"/>
      <c r="N1110" s="113"/>
      <c r="O1110" s="540"/>
      <c r="P1110" s="166"/>
    </row>
    <row r="1111" spans="1:16" s="164" customFormat="1" ht="15">
      <c r="A1111" s="249"/>
      <c r="B1111" s="20"/>
      <c r="C1111" s="121">
        <v>2</v>
      </c>
      <c r="D1111" s="121">
        <f>75.66*0.3</f>
        <v>22.697999999999997</v>
      </c>
      <c r="E1111" s="121">
        <f>8*0.3</f>
        <v>2.4</v>
      </c>
      <c r="F1111" s="149"/>
      <c r="G1111" s="432">
        <f t="shared" si="38"/>
        <v>108.95039999999999</v>
      </c>
      <c r="H1111" s="166"/>
      <c r="J1111" s="547"/>
      <c r="K1111" s="113"/>
      <c r="L1111" s="113"/>
      <c r="M1111" s="113"/>
      <c r="N1111" s="113"/>
      <c r="O1111" s="540"/>
      <c r="P1111" s="166"/>
    </row>
    <row r="1112" spans="1:16" s="164" customFormat="1" ht="15">
      <c r="A1112" s="249"/>
      <c r="B1112" s="20"/>
      <c r="C1112" s="121">
        <v>2</v>
      </c>
      <c r="D1112" s="121">
        <f>38.08*0.3</f>
        <v>11.423999999999999</v>
      </c>
      <c r="E1112" s="121">
        <f>8*0.3</f>
        <v>2.4</v>
      </c>
      <c r="F1112" s="149"/>
      <c r="G1112" s="432">
        <f t="shared" si="38"/>
        <v>54.835199999999993</v>
      </c>
      <c r="H1112" s="166"/>
      <c r="J1112" s="547"/>
      <c r="K1112" s="113"/>
      <c r="L1112" s="113"/>
      <c r="M1112" s="113"/>
      <c r="N1112" s="113"/>
      <c r="O1112" s="540"/>
      <c r="P1112" s="166"/>
    </row>
    <row r="1113" spans="1:16" s="164" customFormat="1" ht="15">
      <c r="A1113" s="249"/>
      <c r="B1113" s="20"/>
      <c r="C1113" s="121">
        <v>1</v>
      </c>
      <c r="D1113" s="121">
        <f>9.75*0.3</f>
        <v>2.9249999999999998</v>
      </c>
      <c r="E1113" s="121">
        <f>15*0.3</f>
        <v>4.5</v>
      </c>
      <c r="F1113" s="149"/>
      <c r="G1113" s="432">
        <f>E1113*D1113*C1113</f>
        <v>13.1625</v>
      </c>
      <c r="H1113" s="166"/>
      <c r="J1113" s="547"/>
      <c r="K1113" s="113"/>
      <c r="L1113" s="113"/>
      <c r="M1113" s="113"/>
      <c r="N1113" s="113"/>
      <c r="O1113" s="540"/>
      <c r="P1113" s="166"/>
    </row>
    <row r="1114" spans="1:16" s="164" customFormat="1" ht="15">
      <c r="A1114" s="249"/>
      <c r="B1114" s="171" t="s">
        <v>1381</v>
      </c>
      <c r="C1114" s="121">
        <v>4</v>
      </c>
      <c r="D1114" s="121">
        <f>9.5*0.3</f>
        <v>2.85</v>
      </c>
      <c r="E1114" s="121">
        <f>5.16*0.3</f>
        <v>1.548</v>
      </c>
      <c r="G1114" s="432">
        <f>E1114*D1114*C1114</f>
        <v>17.647200000000002</v>
      </c>
      <c r="H1114" s="166"/>
      <c r="J1114" s="547"/>
      <c r="K1114" s="113"/>
      <c r="L1114" s="113"/>
      <c r="M1114" s="113"/>
      <c r="N1114" s="113"/>
      <c r="O1114" s="540"/>
      <c r="P1114" s="166"/>
    </row>
    <row r="1115" spans="1:16" s="164" customFormat="1" ht="15">
      <c r="A1115" s="249"/>
      <c r="B1115" s="171"/>
      <c r="C1115" s="121">
        <v>2</v>
      </c>
      <c r="D1115" s="121">
        <f>3.25*0.3</f>
        <v>0.97499999999999998</v>
      </c>
      <c r="E1115" s="121">
        <f>5.16*0.3</f>
        <v>1.548</v>
      </c>
      <c r="G1115" s="432">
        <f>E1115*D1115*C1115</f>
        <v>3.0186000000000002</v>
      </c>
      <c r="H1115" s="166"/>
      <c r="J1115" s="547"/>
      <c r="K1115" s="113"/>
      <c r="L1115" s="113"/>
      <c r="M1115" s="113"/>
      <c r="N1115" s="113"/>
      <c r="O1115" s="540"/>
      <c r="P1115" s="166"/>
    </row>
    <row r="1116" spans="1:16" s="164" customFormat="1" ht="15">
      <c r="A1116" s="249"/>
      <c r="B1116" s="171"/>
      <c r="C1116" s="186">
        <v>4</v>
      </c>
      <c r="D1116" s="186">
        <f>5.16*0.3</f>
        <v>1.548</v>
      </c>
      <c r="E1116" s="186">
        <f>5.16*0.3</f>
        <v>1.548</v>
      </c>
      <c r="G1116" s="432">
        <f>E1116*D1116*C1116</f>
        <v>9.5852160000000008</v>
      </c>
      <c r="H1116" s="166"/>
      <c r="J1116" s="547"/>
      <c r="K1116" s="113"/>
      <c r="L1116" s="113"/>
      <c r="M1116" s="113"/>
      <c r="N1116" s="113"/>
      <c r="O1116" s="540"/>
      <c r="P1116" s="166"/>
    </row>
    <row r="1117" spans="1:16" s="164" customFormat="1" ht="15">
      <c r="A1117" s="249"/>
      <c r="B1117" s="171" t="s">
        <v>975</v>
      </c>
      <c r="C1117" s="113"/>
      <c r="D1117" s="113"/>
      <c r="E1117" s="113"/>
      <c r="G1117" s="432"/>
      <c r="H1117" s="166"/>
      <c r="J1117" s="547"/>
      <c r="K1117" s="113"/>
      <c r="L1117" s="113"/>
      <c r="M1117" s="113"/>
      <c r="N1117" s="113"/>
      <c r="O1117" s="540"/>
      <c r="P1117" s="166"/>
    </row>
    <row r="1118" spans="1:16" s="164" customFormat="1" ht="15">
      <c r="A1118" s="249"/>
      <c r="B1118" s="149" t="s">
        <v>1224</v>
      </c>
      <c r="C1118" s="55">
        <f>24*2</f>
        <v>48</v>
      </c>
      <c r="D1118" s="184">
        <v>1.2</v>
      </c>
      <c r="E1118" s="184">
        <v>0.3</v>
      </c>
      <c r="G1118" s="432">
        <f>E1118*D1118*C1118</f>
        <v>17.28</v>
      </c>
      <c r="H1118" s="166"/>
      <c r="J1118" s="547"/>
      <c r="K1118" s="113"/>
      <c r="L1118" s="113"/>
      <c r="M1118" s="113"/>
      <c r="N1118" s="113"/>
      <c r="O1118" s="540"/>
      <c r="P1118" s="166"/>
    </row>
    <row r="1119" spans="1:16" s="164" customFormat="1" ht="15">
      <c r="A1119" s="249"/>
      <c r="B1119" s="224" t="s">
        <v>1224</v>
      </c>
      <c r="C1119" s="55">
        <f>16*2</f>
        <v>32</v>
      </c>
      <c r="D1119" s="184">
        <v>1.5</v>
      </c>
      <c r="E1119" s="184">
        <v>0.3</v>
      </c>
      <c r="G1119" s="432">
        <f>E1119*D1119*C1119</f>
        <v>14.399999999999999</v>
      </c>
      <c r="H1119" s="166"/>
      <c r="J1119" s="547"/>
      <c r="K1119" s="113"/>
      <c r="L1119" s="113"/>
      <c r="M1119" s="113"/>
      <c r="N1119" s="113"/>
      <c r="O1119" s="540"/>
      <c r="P1119" s="166"/>
    </row>
    <row r="1120" spans="1:16" s="164" customFormat="1" ht="15">
      <c r="A1120" s="249"/>
      <c r="B1120" s="224" t="s">
        <v>1361</v>
      </c>
      <c r="C1120" s="55">
        <f>2*2</f>
        <v>4</v>
      </c>
      <c r="D1120" s="184">
        <v>1.8</v>
      </c>
      <c r="E1120" s="184">
        <v>0.3</v>
      </c>
      <c r="G1120" s="432">
        <f>E1120*D1120*C1120</f>
        <v>2.16</v>
      </c>
      <c r="H1120" s="166"/>
      <c r="J1120" s="547"/>
      <c r="K1120" s="113"/>
      <c r="L1120" s="113"/>
      <c r="M1120" s="113"/>
      <c r="N1120" s="113"/>
      <c r="O1120" s="540"/>
      <c r="P1120" s="166"/>
    </row>
    <row r="1121" spans="1:18" s="164" customFormat="1" ht="15">
      <c r="A1121" s="249"/>
      <c r="B1121" s="224" t="s">
        <v>1361</v>
      </c>
      <c r="C1121" s="55">
        <v>2</v>
      </c>
      <c r="D1121" s="184">
        <v>2.1</v>
      </c>
      <c r="E1121" s="184">
        <v>0.3</v>
      </c>
      <c r="G1121" s="432">
        <f>E1121*D1121*C1121</f>
        <v>1.26</v>
      </c>
      <c r="H1121" s="166"/>
      <c r="J1121" s="547"/>
      <c r="K1121" s="113"/>
      <c r="L1121" s="113"/>
      <c r="M1121" s="113"/>
      <c r="N1121" s="113"/>
      <c r="O1121" s="540"/>
      <c r="P1121" s="166"/>
    </row>
    <row r="1122" spans="1:18" s="164" customFormat="1" ht="15">
      <c r="A1122" s="249"/>
      <c r="B1122" s="20" t="s">
        <v>1362</v>
      </c>
      <c r="C1122" s="55">
        <f>33*2</f>
        <v>66</v>
      </c>
      <c r="D1122" s="184">
        <v>0.9</v>
      </c>
      <c r="E1122" s="184">
        <v>0.3</v>
      </c>
      <c r="G1122" s="500">
        <f>E1122*D1122*C1122</f>
        <v>17.82</v>
      </c>
      <c r="H1122" s="166"/>
      <c r="J1122" s="547"/>
      <c r="K1122" s="113"/>
      <c r="L1122" s="113"/>
      <c r="M1122" s="113"/>
      <c r="N1122" s="113"/>
      <c r="O1122" s="540"/>
      <c r="P1122" s="166"/>
    </row>
    <row r="1123" spans="1:18" s="164" customFormat="1" ht="15">
      <c r="A1123" s="249"/>
      <c r="B1123" s="20"/>
      <c r="C1123" s="55"/>
      <c r="D1123" s="184"/>
      <c r="E1123" s="184"/>
      <c r="G1123" s="432">
        <f>SUM(G1100:G1122)</f>
        <v>967.71661993359976</v>
      </c>
      <c r="H1123" s="166"/>
      <c r="J1123" s="547"/>
      <c r="K1123" s="113"/>
      <c r="L1123" s="113"/>
      <c r="M1123" s="113"/>
      <c r="N1123" s="113"/>
      <c r="O1123" s="540"/>
      <c r="P1123" s="166"/>
    </row>
    <row r="1124" spans="1:18" s="164" customFormat="1" ht="15">
      <c r="A1124" s="249"/>
      <c r="B1124" s="20"/>
      <c r="C1124" s="55"/>
      <c r="D1124" s="184"/>
      <c r="E1124" s="184"/>
      <c r="G1124" s="656">
        <f>G1123*10%</f>
        <v>96.771661993359984</v>
      </c>
      <c r="H1124" s="166"/>
      <c r="J1124" s="547"/>
      <c r="K1124" s="113"/>
      <c r="L1124" s="113"/>
      <c r="M1124" s="113"/>
      <c r="N1124" s="113"/>
      <c r="O1124" s="540"/>
      <c r="P1124" s="166"/>
    </row>
    <row r="1125" spans="1:18" s="164" customFormat="1" ht="15">
      <c r="A1125" s="249"/>
      <c r="B1125" s="610"/>
      <c r="C1125" s="165"/>
      <c r="D1125" s="173"/>
      <c r="E1125" s="173"/>
      <c r="F1125" s="173"/>
      <c r="G1125" s="551">
        <f>G1124+G1123</f>
        <v>1064.4882819269596</v>
      </c>
      <c r="H1125" s="527" t="s">
        <v>32</v>
      </c>
      <c r="J1125" s="547"/>
      <c r="K1125" s="113"/>
      <c r="L1125" s="113"/>
      <c r="M1125" s="113"/>
      <c r="N1125" s="113"/>
      <c r="O1125" s="540"/>
      <c r="P1125" s="166"/>
    </row>
    <row r="1126" spans="1:18" s="149" customFormat="1" ht="15">
      <c r="A1126" s="135"/>
      <c r="B1126" s="171"/>
      <c r="C1126" s="113"/>
      <c r="D1126" s="113"/>
      <c r="E1126" s="113"/>
      <c r="F1126" s="113"/>
      <c r="G1126" s="554"/>
      <c r="H1126" s="541"/>
      <c r="I1126" s="164"/>
      <c r="J1126" s="547"/>
      <c r="K1126" s="113"/>
      <c r="L1126" s="113"/>
      <c r="M1126" s="113"/>
      <c r="N1126" s="113"/>
      <c r="O1126" s="590"/>
      <c r="P1126" s="588"/>
      <c r="Q1126" s="164"/>
      <c r="R1126" s="164"/>
    </row>
    <row r="1127" spans="1:18" s="149" customFormat="1" ht="15">
      <c r="A1127" s="135"/>
      <c r="B1127" s="171"/>
      <c r="C1127" s="113"/>
      <c r="D1127" s="113"/>
      <c r="E1127" s="113"/>
      <c r="F1127" s="113"/>
      <c r="G1127" s="554"/>
      <c r="H1127" s="752"/>
      <c r="I1127" s="164"/>
      <c r="J1127" s="547"/>
      <c r="K1127" s="113"/>
      <c r="L1127" s="113"/>
      <c r="M1127" s="113"/>
      <c r="N1127" s="113"/>
      <c r="O1127" s="590"/>
      <c r="P1127" s="588"/>
      <c r="Q1127" s="164"/>
      <c r="R1127" s="164"/>
    </row>
    <row r="1128" spans="1:18" s="149" customFormat="1" ht="15">
      <c r="A1128" s="135"/>
      <c r="B1128" s="171"/>
      <c r="C1128" s="113"/>
      <c r="D1128" s="113"/>
      <c r="E1128" s="113"/>
      <c r="F1128" s="113"/>
      <c r="G1128" s="554"/>
      <c r="H1128" s="752"/>
      <c r="I1128" s="164"/>
      <c r="J1128" s="547"/>
      <c r="K1128" s="113"/>
      <c r="L1128" s="113"/>
      <c r="M1128" s="113"/>
      <c r="N1128" s="113"/>
      <c r="O1128" s="590"/>
      <c r="P1128" s="588"/>
      <c r="Q1128" s="164"/>
      <c r="R1128" s="164"/>
    </row>
    <row r="1129" spans="1:18" s="149" customFormat="1" ht="15">
      <c r="A1129" s="135"/>
      <c r="B1129" s="36" t="s">
        <v>1161</v>
      </c>
      <c r="C1129" s="186">
        <v>2</v>
      </c>
      <c r="D1129" s="186">
        <v>3.69</v>
      </c>
      <c r="E1129" s="186">
        <v>4.83</v>
      </c>
      <c r="G1129" s="528">
        <f>E1129*D1129*C1129</f>
        <v>35.645400000000002</v>
      </c>
      <c r="H1129" s="527" t="s">
        <v>32</v>
      </c>
      <c r="I1129" s="517"/>
      <c r="J1129" s="100"/>
      <c r="K1129" s="102"/>
      <c r="L1129" s="102"/>
      <c r="M1129" s="165"/>
      <c r="N1129" s="540"/>
      <c r="O1129" s="547"/>
      <c r="P1129" s="164"/>
      <c r="Q1129" s="164"/>
      <c r="R1129" s="164"/>
    </row>
    <row r="1130" spans="1:18" s="149" customFormat="1" ht="15">
      <c r="A1130" s="135"/>
      <c r="B1130" s="36"/>
      <c r="C1130" s="186"/>
      <c r="D1130" s="186"/>
      <c r="E1130" s="186"/>
      <c r="G1130" s="656">
        <f>G1129*10%</f>
        <v>3.5645400000000005</v>
      </c>
      <c r="H1130" s="166"/>
      <c r="I1130" s="517"/>
      <c r="J1130" s="100"/>
      <c r="K1130" s="102"/>
      <c r="L1130" s="102"/>
      <c r="M1130" s="165"/>
      <c r="N1130" s="540"/>
      <c r="O1130" s="547"/>
      <c r="P1130" s="164"/>
      <c r="Q1130" s="164"/>
      <c r="R1130" s="164"/>
    </row>
    <row r="1131" spans="1:18" s="149" customFormat="1" ht="15">
      <c r="A1131" s="135"/>
      <c r="B1131" s="36"/>
      <c r="C1131" s="186"/>
      <c r="D1131" s="186"/>
      <c r="E1131" s="186"/>
      <c r="G1131" s="551">
        <f>G1130+G1129</f>
        <v>39.209940000000003</v>
      </c>
      <c r="H1131" s="527" t="s">
        <v>32</v>
      </c>
      <c r="I1131" s="517"/>
      <c r="J1131" s="100"/>
      <c r="K1131" s="102"/>
      <c r="L1131" s="102"/>
      <c r="M1131" s="165"/>
      <c r="N1131" s="540"/>
      <c r="O1131" s="547"/>
      <c r="P1131" s="164"/>
      <c r="Q1131" s="164"/>
      <c r="R1131" s="164"/>
    </row>
    <row r="1132" spans="1:18" s="149" customFormat="1" ht="15">
      <c r="A1132" s="135"/>
      <c r="B1132" s="20"/>
      <c r="D1132" s="552"/>
      <c r="E1132" s="552"/>
      <c r="G1132" s="553"/>
      <c r="H1132" s="505"/>
      <c r="I1132" s="517"/>
      <c r="J1132" s="100"/>
      <c r="K1132" s="1251"/>
      <c r="L1132" s="1251"/>
      <c r="M1132" s="165"/>
      <c r="N1132" s="540"/>
      <c r="O1132" s="547"/>
      <c r="P1132" s="164"/>
      <c r="Q1132" s="164"/>
      <c r="R1132" s="164"/>
    </row>
    <row r="1133" spans="1:18" s="149" customFormat="1">
      <c r="A1133" s="135">
        <v>15</v>
      </c>
      <c r="B1133" s="534" t="s">
        <v>1167</v>
      </c>
      <c r="C1133" s="4"/>
      <c r="D1133" s="4"/>
      <c r="E1133" s="16"/>
      <c r="F1133" s="16"/>
      <c r="G1133" s="49"/>
      <c r="H1133" s="143"/>
      <c r="I1133" s="164"/>
      <c r="J1133" s="555"/>
      <c r="K1133" s="555"/>
      <c r="L1133" s="102"/>
      <c r="M1133" s="102"/>
      <c r="N1133" s="412"/>
      <c r="O1133" s="504"/>
      <c r="P1133" s="164"/>
      <c r="Q1133" s="164"/>
      <c r="R1133" s="164"/>
    </row>
    <row r="1134" spans="1:18" s="149" customFormat="1">
      <c r="A1134" s="135"/>
      <c r="B1134" s="534"/>
      <c r="C1134" s="100">
        <v>1</v>
      </c>
      <c r="D1134" s="1279">
        <f>1304360941.4648/1000000</f>
        <v>1304.3609414647999</v>
      </c>
      <c r="E1134" s="1279"/>
      <c r="F1134" s="102"/>
      <c r="G1134" s="412">
        <f>D1134*C1134</f>
        <v>1304.3609414647999</v>
      </c>
      <c r="H1134" s="433"/>
      <c r="I1134" s="164"/>
      <c r="J1134" s="555"/>
      <c r="K1134" s="555"/>
      <c r="L1134" s="102"/>
      <c r="M1134" s="102"/>
      <c r="N1134" s="412"/>
      <c r="O1134" s="504"/>
      <c r="P1134" s="164"/>
      <c r="Q1134" s="164"/>
      <c r="R1134" s="164"/>
    </row>
    <row r="1135" spans="1:18" s="149" customFormat="1">
      <c r="A1135" s="135"/>
      <c r="B1135" s="534"/>
      <c r="C1135" s="100">
        <v>-1</v>
      </c>
      <c r="D1135" s="100">
        <v>21.7</v>
      </c>
      <c r="E1135" s="100">
        <v>13.8</v>
      </c>
      <c r="F1135" s="102"/>
      <c r="G1135" s="412">
        <f>E1135*D1135*C1135</f>
        <v>-299.45999999999998</v>
      </c>
      <c r="H1135" s="433"/>
      <c r="I1135" s="164"/>
      <c r="J1135" s="555"/>
      <c r="K1135" s="555"/>
      <c r="L1135" s="102"/>
      <c r="M1135" s="102"/>
      <c r="N1135" s="412"/>
      <c r="O1135" s="504"/>
      <c r="P1135" s="164"/>
      <c r="Q1135" s="164"/>
      <c r="R1135" s="164"/>
    </row>
    <row r="1136" spans="1:18" s="149" customFormat="1">
      <c r="A1136" s="135"/>
      <c r="B1136" s="143"/>
      <c r="C1136" s="165">
        <v>1</v>
      </c>
      <c r="D1136" s="165">
        <v>4.5</v>
      </c>
      <c r="E1136" s="165">
        <v>2.06</v>
      </c>
      <c r="F1136" s="102"/>
      <c r="G1136" s="412">
        <f>E1136*D1136*C1136</f>
        <v>9.27</v>
      </c>
      <c r="H1136" s="433"/>
      <c r="I1136" s="164"/>
      <c r="J1136" s="164"/>
      <c r="K1136" s="165"/>
      <c r="L1136" s="165"/>
      <c r="M1136" s="165"/>
      <c r="N1136" s="164"/>
      <c r="O1136" s="164"/>
      <c r="P1136" s="164"/>
      <c r="Q1136" s="164"/>
      <c r="R1136" s="164"/>
    </row>
    <row r="1137" spans="1:18" s="149" customFormat="1">
      <c r="A1137" s="135"/>
      <c r="B1137" s="143"/>
      <c r="C1137" s="100">
        <v>1</v>
      </c>
      <c r="D1137" s="102">
        <v>8.08</v>
      </c>
      <c r="E1137" s="102">
        <v>3.39</v>
      </c>
      <c r="F1137" s="102"/>
      <c r="G1137" s="412">
        <f>E1137*D1137*C1137</f>
        <v>27.391200000000001</v>
      </c>
      <c r="H1137" s="527"/>
      <c r="I1137" s="164"/>
      <c r="J1137" s="164"/>
      <c r="K1137" s="165"/>
      <c r="L1137" s="165"/>
      <c r="M1137" s="165"/>
      <c r="N1137" s="164"/>
      <c r="O1137" s="164"/>
      <c r="P1137" s="164"/>
      <c r="Q1137" s="164"/>
      <c r="R1137" s="164"/>
    </row>
    <row r="1138" spans="1:18" s="149" customFormat="1">
      <c r="A1138" s="135"/>
      <c r="B1138" s="143"/>
      <c r="C1138" s="100">
        <v>1</v>
      </c>
      <c r="D1138" s="102">
        <v>16.13</v>
      </c>
      <c r="E1138" s="102">
        <v>5.99</v>
      </c>
      <c r="F1138" s="102"/>
      <c r="G1138" s="556">
        <f>E1138*D1138*C1138</f>
        <v>96.618700000000004</v>
      </c>
      <c r="H1138" s="527"/>
      <c r="I1138" s="164"/>
      <c r="J1138" s="164"/>
      <c r="K1138" s="165"/>
      <c r="L1138" s="165"/>
      <c r="M1138" s="165"/>
      <c r="N1138" s="164"/>
      <c r="O1138" s="164"/>
      <c r="P1138" s="164"/>
      <c r="Q1138" s="164"/>
      <c r="R1138" s="164"/>
    </row>
    <row r="1139" spans="1:18" s="149" customFormat="1">
      <c r="A1139" s="135"/>
      <c r="B1139" s="143"/>
      <c r="C1139" s="100"/>
      <c r="D1139" s="102"/>
      <c r="E1139" s="102"/>
      <c r="F1139" s="102"/>
      <c r="G1139" s="413">
        <f>SUM(G1134:G1138)</f>
        <v>1138.1808414647999</v>
      </c>
      <c r="H1139" s="527" t="s">
        <v>32</v>
      </c>
      <c r="I1139" s="164"/>
      <c r="J1139" s="164"/>
      <c r="K1139" s="165"/>
      <c r="L1139" s="165"/>
      <c r="M1139" s="165"/>
      <c r="N1139" s="164"/>
      <c r="O1139" s="164"/>
      <c r="P1139" s="164"/>
      <c r="Q1139" s="164"/>
      <c r="R1139" s="164"/>
    </row>
    <row r="1140" spans="1:18" s="149" customFormat="1">
      <c r="A1140" s="135"/>
      <c r="E1140" s="121"/>
      <c r="G1140" s="656">
        <f>G1139*10%</f>
        <v>113.81808414647999</v>
      </c>
      <c r="H1140" s="166"/>
      <c r="I1140" s="164"/>
      <c r="J1140" s="164"/>
      <c r="K1140" s="165"/>
      <c r="L1140" s="165"/>
      <c r="M1140" s="165"/>
      <c r="N1140" s="164"/>
      <c r="O1140" s="164"/>
      <c r="P1140" s="164"/>
      <c r="Q1140" s="164"/>
      <c r="R1140" s="164"/>
    </row>
    <row r="1141" spans="1:18" s="149" customFormat="1">
      <c r="A1141" s="135"/>
      <c r="E1141" s="121"/>
      <c r="G1141" s="551">
        <f>G1140+G1139</f>
        <v>1251.9989256112799</v>
      </c>
      <c r="H1141" s="527" t="s">
        <v>32</v>
      </c>
      <c r="I1141" s="164"/>
      <c r="J1141" s="164"/>
      <c r="K1141" s="165"/>
      <c r="L1141" s="165"/>
      <c r="M1141" s="165"/>
      <c r="N1141" s="164"/>
      <c r="O1141" s="164"/>
      <c r="P1141" s="164"/>
      <c r="Q1141" s="164"/>
      <c r="R1141" s="164"/>
    </row>
    <row r="1142" spans="1:18" s="149" customFormat="1">
      <c r="A1142" s="135"/>
      <c r="E1142" s="121"/>
      <c r="G1142" s="498"/>
      <c r="H1142" s="430"/>
      <c r="I1142" s="164"/>
      <c r="J1142" s="164"/>
      <c r="K1142" s="165"/>
      <c r="L1142" s="165"/>
      <c r="M1142" s="165"/>
      <c r="N1142" s="164"/>
      <c r="O1142" s="164"/>
      <c r="P1142" s="164"/>
      <c r="Q1142" s="164"/>
      <c r="R1142" s="164"/>
    </row>
    <row r="1143" spans="1:18" s="149" customFormat="1">
      <c r="A1143" s="135"/>
      <c r="E1143" s="121"/>
      <c r="G1143" s="498"/>
      <c r="H1143" s="430"/>
      <c r="I1143" s="164"/>
      <c r="J1143" s="164"/>
      <c r="K1143" s="165"/>
      <c r="L1143" s="165"/>
      <c r="M1143" s="165"/>
      <c r="N1143" s="164"/>
      <c r="O1143" s="164"/>
      <c r="P1143" s="164"/>
      <c r="Q1143" s="164"/>
      <c r="R1143" s="164"/>
    </row>
    <row r="1144" spans="1:18" s="149" customFormat="1">
      <c r="A1144" s="135">
        <v>16</v>
      </c>
      <c r="B1144" s="534" t="s">
        <v>1168</v>
      </c>
      <c r="C1144" s="555"/>
      <c r="D1144" s="555"/>
      <c r="E1144" s="16"/>
      <c r="F1144" s="16"/>
      <c r="G1144" s="49"/>
      <c r="H1144" s="503"/>
      <c r="I1144" s="164"/>
      <c r="Q1144" s="164"/>
      <c r="R1144" s="164"/>
    </row>
    <row r="1145" spans="1:18" s="149" customFormat="1">
      <c r="A1145" s="135"/>
      <c r="B1145" s="516" t="s">
        <v>1051</v>
      </c>
      <c r="C1145" s="555">
        <v>4</v>
      </c>
      <c r="D1145" s="555">
        <f>9.5*0.3</f>
        <v>2.85</v>
      </c>
      <c r="E1145" s="16"/>
      <c r="F1145" s="16"/>
      <c r="G1145" s="412">
        <f>D1145*C1145</f>
        <v>11.4</v>
      </c>
      <c r="H1145" s="503"/>
      <c r="I1145" s="164"/>
      <c r="Q1145" s="164"/>
      <c r="R1145" s="164"/>
    </row>
    <row r="1146" spans="1:18" s="149" customFormat="1">
      <c r="A1146" s="135"/>
      <c r="B1146" s="516"/>
      <c r="C1146" s="555">
        <v>2</v>
      </c>
      <c r="D1146" s="555">
        <f>3.16*0.3</f>
        <v>0.94799999999999995</v>
      </c>
      <c r="E1146" s="16"/>
      <c r="F1146" s="16"/>
      <c r="G1146" s="556">
        <f>D1146*C1146</f>
        <v>1.8959999999999999</v>
      </c>
      <c r="H1146" s="503"/>
      <c r="I1146" s="164"/>
      <c r="Q1146" s="164"/>
      <c r="R1146" s="164"/>
    </row>
    <row r="1147" spans="1:18" s="149" customFormat="1">
      <c r="A1147" s="135"/>
      <c r="B1147" s="516"/>
      <c r="C1147" s="555"/>
      <c r="D1147" s="555"/>
      <c r="E1147" s="16"/>
      <c r="F1147" s="16"/>
      <c r="G1147" s="412">
        <f>SUM(G1145:G1146)</f>
        <v>13.295999999999999</v>
      </c>
      <c r="H1147" s="503"/>
      <c r="I1147" s="164"/>
      <c r="Q1147" s="164"/>
      <c r="R1147" s="164"/>
    </row>
    <row r="1148" spans="1:18" s="149" customFormat="1">
      <c r="A1148" s="135"/>
      <c r="B1148" s="516"/>
      <c r="C1148" s="555"/>
      <c r="D1148" s="555"/>
      <c r="E1148" s="16"/>
      <c r="F1148" s="16"/>
      <c r="G1148" s="656">
        <f>G1147*10%</f>
        <v>1.3296000000000001</v>
      </c>
      <c r="H1148" s="503"/>
      <c r="I1148" s="164"/>
      <c r="Q1148" s="164"/>
      <c r="R1148" s="164"/>
    </row>
    <row r="1149" spans="1:18" s="149" customFormat="1">
      <c r="A1149" s="135"/>
      <c r="B1149" s="143"/>
      <c r="C1149" s="4"/>
      <c r="D1149" s="16"/>
      <c r="E1149" s="16"/>
      <c r="F1149" s="16"/>
      <c r="G1149" s="551">
        <f>G1148+G1147</f>
        <v>14.625599999999999</v>
      </c>
      <c r="H1149" s="143" t="s">
        <v>434</v>
      </c>
      <c r="I1149" s="164"/>
      <c r="Q1149" s="164"/>
      <c r="R1149" s="164"/>
    </row>
    <row r="1150" spans="1:18" s="149" customFormat="1">
      <c r="A1150" s="135"/>
      <c r="B1150" s="143"/>
      <c r="C1150" s="4"/>
      <c r="D1150" s="16"/>
      <c r="E1150" s="16"/>
      <c r="F1150" s="16"/>
      <c r="G1150" s="554"/>
      <c r="H1150" s="527"/>
      <c r="I1150" s="164"/>
      <c r="Q1150" s="164"/>
      <c r="R1150" s="164"/>
    </row>
    <row r="1151" spans="1:18" s="149" customFormat="1">
      <c r="A1151" s="135"/>
      <c r="B1151" s="516" t="s">
        <v>1214</v>
      </c>
      <c r="C1151" s="4"/>
      <c r="D1151" s="16"/>
      <c r="E1151" s="16"/>
      <c r="F1151" s="16"/>
      <c r="G1151" s="554">
        <f>G1147</f>
        <v>13.295999999999999</v>
      </c>
      <c r="H1151" s="527"/>
      <c r="I1151" s="164"/>
      <c r="Q1151" s="164"/>
      <c r="R1151" s="164"/>
    </row>
    <row r="1152" spans="1:18" s="149" customFormat="1">
      <c r="A1152" s="135"/>
      <c r="B1152" s="143"/>
      <c r="C1152" s="4"/>
      <c r="D1152" s="16"/>
      <c r="E1152" s="16"/>
      <c r="F1152" s="16"/>
      <c r="G1152" s="656">
        <f>G1151*10%</f>
        <v>1.3296000000000001</v>
      </c>
      <c r="H1152" s="527"/>
      <c r="I1152" s="164"/>
      <c r="Q1152" s="164"/>
      <c r="R1152" s="164"/>
    </row>
    <row r="1153" spans="1:18" s="149" customFormat="1">
      <c r="A1153" s="135"/>
      <c r="B1153" s="516"/>
      <c r="C1153" s="555"/>
      <c r="D1153" s="555"/>
      <c r="E1153" s="16"/>
      <c r="F1153" s="16"/>
      <c r="G1153" s="551">
        <f>G1152+G1151</f>
        <v>14.625599999999999</v>
      </c>
      <c r="H1153" s="143" t="s">
        <v>434</v>
      </c>
      <c r="I1153" s="164"/>
      <c r="Q1153" s="164"/>
      <c r="R1153" s="164"/>
    </row>
    <row r="1154" spans="1:18" s="149" customFormat="1" ht="15">
      <c r="A1154" s="135"/>
      <c r="B1154" s="516"/>
      <c r="C1154" s="555"/>
      <c r="D1154" s="555"/>
      <c r="E1154" s="16"/>
      <c r="F1154" s="16"/>
      <c r="G1154" s="526"/>
      <c r="H1154" s="507"/>
      <c r="I1154" s="164"/>
      <c r="Q1154" s="164"/>
      <c r="R1154" s="164"/>
    </row>
    <row r="1155" spans="1:18" s="149" customFormat="1">
      <c r="A1155" s="135"/>
      <c r="B1155" s="516"/>
      <c r="C1155" s="555"/>
      <c r="D1155" s="555"/>
      <c r="E1155" s="16"/>
      <c r="F1155" s="16"/>
      <c r="G1155" s="554"/>
      <c r="H1155" s="507"/>
      <c r="I1155" s="164"/>
      <c r="Q1155" s="164"/>
      <c r="R1155" s="164"/>
    </row>
    <row r="1156" spans="1:18" s="149" customFormat="1">
      <c r="A1156" s="135"/>
      <c r="B1156" s="516"/>
      <c r="C1156" s="555"/>
      <c r="D1156" s="555"/>
      <c r="E1156" s="16"/>
      <c r="F1156" s="16"/>
      <c r="G1156" s="412"/>
      <c r="H1156" s="503"/>
      <c r="I1156" s="164"/>
      <c r="Q1156" s="164"/>
      <c r="R1156" s="164"/>
    </row>
    <row r="1157" spans="1:18" s="149" customFormat="1">
      <c r="A1157" s="135">
        <v>17</v>
      </c>
      <c r="B1157" s="534" t="s">
        <v>1169</v>
      </c>
      <c r="E1157" s="121"/>
      <c r="G1157" s="498"/>
      <c r="H1157" s="430"/>
      <c r="I1157" s="164"/>
      <c r="Q1157" s="164"/>
      <c r="R1157" s="164"/>
    </row>
    <row r="1158" spans="1:18" s="149" customFormat="1" ht="15">
      <c r="A1158" s="135"/>
      <c r="B1158" s="215" t="s">
        <v>1051</v>
      </c>
      <c r="C1158" s="186"/>
      <c r="D1158" s="186"/>
      <c r="E1158" s="186"/>
      <c r="G1158" s="498"/>
      <c r="H1158" s="430"/>
      <c r="I1158" s="164"/>
      <c r="Q1158" s="164"/>
      <c r="R1158" s="164"/>
    </row>
    <row r="1159" spans="1:18" s="149" customFormat="1">
      <c r="A1159" s="135"/>
      <c r="B1159" s="149" t="s">
        <v>1224</v>
      </c>
      <c r="C1159" s="55">
        <v>41</v>
      </c>
      <c r="D1159" s="184">
        <v>1.2</v>
      </c>
      <c r="E1159" s="100"/>
      <c r="F1159" s="173">
        <f>4.5*0.3</f>
        <v>1.3499999999999999</v>
      </c>
      <c r="G1159" s="548">
        <f>F1159*D1159*C1159</f>
        <v>66.42</v>
      </c>
      <c r="H1159" s="430"/>
      <c r="I1159" s="164"/>
      <c r="Q1159" s="164"/>
      <c r="R1159" s="164"/>
    </row>
    <row r="1160" spans="1:18" s="149" customFormat="1">
      <c r="A1160" s="135"/>
      <c r="B1160" s="224" t="s">
        <v>1361</v>
      </c>
      <c r="C1160" s="55">
        <v>6</v>
      </c>
      <c r="D1160" s="184">
        <v>1.8</v>
      </c>
      <c r="E1160" s="100"/>
      <c r="F1160" s="173">
        <f>4.5*0.3</f>
        <v>1.3499999999999999</v>
      </c>
      <c r="G1160" s="548">
        <f>F1160*D1160*C1160</f>
        <v>14.579999999999998</v>
      </c>
      <c r="H1160" s="430"/>
      <c r="I1160" s="164"/>
      <c r="Q1160" s="164"/>
      <c r="R1160" s="164"/>
    </row>
    <row r="1161" spans="1:18" s="149" customFormat="1">
      <c r="A1161" s="135"/>
      <c r="B1161" s="534"/>
      <c r="E1161" s="121"/>
      <c r="G1161" s="537">
        <f>SUM(G1159:G1160)</f>
        <v>81</v>
      </c>
      <c r="H1161" s="430"/>
      <c r="I1161" s="164"/>
      <c r="Q1161" s="164"/>
      <c r="R1161" s="164"/>
    </row>
    <row r="1162" spans="1:18" s="149" customFormat="1">
      <c r="A1162" s="135"/>
      <c r="B1162" s="534"/>
      <c r="E1162" s="121"/>
      <c r="G1162" s="546"/>
      <c r="H1162" s="516"/>
      <c r="I1162" s="164"/>
      <c r="Q1162" s="164"/>
      <c r="R1162" s="164"/>
    </row>
    <row r="1163" spans="1:18" s="149" customFormat="1" ht="15">
      <c r="A1163" s="135"/>
      <c r="B1163" s="215" t="s">
        <v>1214</v>
      </c>
      <c r="C1163" s="186"/>
      <c r="D1163" s="186"/>
      <c r="E1163" s="186"/>
      <c r="F1163" s="186"/>
      <c r="G1163" s="498"/>
      <c r="H1163" s="430"/>
      <c r="I1163" s="164"/>
      <c r="Q1163" s="164"/>
      <c r="R1163" s="164"/>
    </row>
    <row r="1164" spans="1:18" s="149" customFormat="1">
      <c r="A1164" s="135"/>
      <c r="B1164" s="149" t="s">
        <v>1224</v>
      </c>
      <c r="C1164" s="55">
        <v>40</v>
      </c>
      <c r="D1164" s="184">
        <v>1.2</v>
      </c>
      <c r="E1164" s="165"/>
      <c r="F1164" s="173">
        <f>4.5*0.3</f>
        <v>1.3499999999999999</v>
      </c>
      <c r="G1164" s="432">
        <f>F1164*D1164*C1164</f>
        <v>64.8</v>
      </c>
      <c r="H1164" s="430"/>
      <c r="I1164" s="164"/>
      <c r="Q1164" s="164"/>
      <c r="R1164" s="164"/>
    </row>
    <row r="1165" spans="1:18" s="149" customFormat="1">
      <c r="A1165" s="135"/>
      <c r="B1165" s="224" t="s">
        <v>1361</v>
      </c>
      <c r="C1165" s="55">
        <v>3</v>
      </c>
      <c r="D1165" s="184">
        <v>1.8</v>
      </c>
      <c r="E1165" s="165"/>
      <c r="F1165" s="173">
        <f>4.5*0.3</f>
        <v>1.3499999999999999</v>
      </c>
      <c r="G1165" s="500">
        <f>F1165*D1165*C1165</f>
        <v>7.2899999999999991</v>
      </c>
      <c r="H1165" s="430"/>
      <c r="I1165" s="164"/>
      <c r="J1165" s="433"/>
      <c r="K1165" s="100"/>
      <c r="L1165" s="102"/>
      <c r="M1165" s="102"/>
      <c r="N1165" s="102"/>
      <c r="O1165" s="102"/>
      <c r="P1165" s="100"/>
      <c r="Q1165" s="164"/>
      <c r="R1165" s="164"/>
    </row>
    <row r="1166" spans="1:18" s="149" customFormat="1">
      <c r="A1166" s="135"/>
      <c r="B1166" s="20"/>
      <c r="C1166" s="121"/>
      <c r="D1166" s="120"/>
      <c r="E1166" s="121"/>
      <c r="F1166" s="120"/>
      <c r="G1166" s="605">
        <f>SUM(G1164:G1165)</f>
        <v>72.09</v>
      </c>
      <c r="H1166" s="430"/>
      <c r="I1166" s="164"/>
      <c r="J1166" s="433"/>
      <c r="K1166" s="100"/>
      <c r="L1166" s="102"/>
      <c r="M1166" s="102"/>
      <c r="N1166" s="102"/>
      <c r="O1166" s="102"/>
      <c r="P1166" s="100"/>
      <c r="Q1166" s="164"/>
      <c r="R1166" s="164"/>
    </row>
    <row r="1167" spans="1:18" s="149" customFormat="1">
      <c r="A1167" s="135"/>
      <c r="C1167" s="186"/>
      <c r="D1167" s="186"/>
      <c r="E1167" s="121"/>
      <c r="F1167" s="186"/>
      <c r="G1167" s="546"/>
      <c r="H1167" s="516"/>
      <c r="I1167" s="164"/>
      <c r="J1167" s="433"/>
      <c r="K1167" s="100"/>
      <c r="L1167" s="102"/>
      <c r="M1167" s="102"/>
      <c r="N1167" s="102"/>
      <c r="O1167" s="102"/>
      <c r="P1167" s="100"/>
      <c r="Q1167" s="164"/>
      <c r="R1167" s="164"/>
    </row>
    <row r="1168" spans="1:18" s="149" customFormat="1">
      <c r="A1168" s="135"/>
      <c r="B1168" s="534"/>
      <c r="E1168" s="121"/>
      <c r="G1168" s="498"/>
      <c r="H1168" s="430"/>
      <c r="I1168" s="164"/>
      <c r="J1168" s="433"/>
      <c r="K1168" s="100"/>
      <c r="L1168" s="102"/>
      <c r="M1168" s="102"/>
      <c r="N1168" s="102"/>
      <c r="O1168" s="102"/>
      <c r="P1168" s="100"/>
      <c r="Q1168" s="164"/>
      <c r="R1168" s="164"/>
    </row>
    <row r="1169" spans="1:18" s="149" customFormat="1">
      <c r="A1169" s="135"/>
      <c r="B1169" s="534"/>
      <c r="E1169" s="121"/>
      <c r="F1169" s="20" t="s">
        <v>426</v>
      </c>
      <c r="G1169" s="520">
        <f>G1166+G1161</f>
        <v>153.09</v>
      </c>
      <c r="H1169" s="516" t="s">
        <v>32</v>
      </c>
      <c r="I1169" s="164"/>
      <c r="J1169" s="433"/>
      <c r="K1169" s="100"/>
      <c r="L1169" s="102"/>
      <c r="M1169" s="102"/>
      <c r="N1169" s="102"/>
      <c r="O1169" s="102"/>
      <c r="P1169" s="100"/>
      <c r="Q1169" s="164"/>
      <c r="R1169" s="164"/>
    </row>
    <row r="1170" spans="1:18" s="149" customFormat="1">
      <c r="A1170" s="135"/>
      <c r="B1170" s="534"/>
      <c r="D1170" s="627" t="s">
        <v>492</v>
      </c>
      <c r="E1170" s="401">
        <v>26.9</v>
      </c>
      <c r="F1170" s="57" t="s">
        <v>1366</v>
      </c>
      <c r="G1170" s="520">
        <f>G1169*E1170</f>
        <v>4118.1210000000001</v>
      </c>
      <c r="H1170" s="516"/>
      <c r="I1170" s="164"/>
      <c r="J1170" s="433"/>
      <c r="K1170" s="100"/>
      <c r="L1170" s="102"/>
      <c r="M1170" s="102"/>
      <c r="N1170" s="102"/>
      <c r="O1170" s="102"/>
      <c r="P1170" s="100"/>
      <c r="Q1170" s="164"/>
      <c r="R1170" s="164"/>
    </row>
    <row r="1171" spans="1:18" s="149" customFormat="1">
      <c r="A1171" s="135"/>
      <c r="B1171" s="534"/>
      <c r="E1171" s="121"/>
      <c r="F1171" s="20"/>
      <c r="G1171" s="656">
        <f>G1170*10%</f>
        <v>411.81210000000004</v>
      </c>
      <c r="H1171" s="516"/>
      <c r="I1171" s="164"/>
      <c r="J1171" s="433"/>
      <c r="K1171" s="100"/>
      <c r="L1171" s="102"/>
      <c r="M1171" s="102"/>
      <c r="N1171" s="102"/>
      <c r="O1171" s="102"/>
      <c r="P1171" s="100"/>
      <c r="Q1171" s="164"/>
      <c r="R1171" s="164"/>
    </row>
    <row r="1172" spans="1:18" s="149" customFormat="1" ht="18" customHeight="1">
      <c r="A1172" s="135"/>
      <c r="B1172" s="534"/>
      <c r="D1172" s="627"/>
      <c r="E1172" s="401"/>
      <c r="F1172" s="57"/>
      <c r="G1172" s="551">
        <f>G1171+G1170</f>
        <v>4529.9331000000002</v>
      </c>
      <c r="H1172" s="416" t="s">
        <v>1170</v>
      </c>
      <c r="I1172" s="164"/>
      <c r="J1172" s="433"/>
      <c r="K1172" s="100"/>
      <c r="L1172" s="102"/>
      <c r="M1172" s="102"/>
      <c r="N1172" s="102"/>
      <c r="O1172" s="102"/>
      <c r="P1172" s="100"/>
      <c r="Q1172" s="164"/>
      <c r="R1172" s="164"/>
    </row>
    <row r="1173" spans="1:18" s="149" customFormat="1" ht="18" customHeight="1">
      <c r="A1173" s="135"/>
      <c r="B1173" s="534"/>
      <c r="D1173" s="627"/>
      <c r="E1173" s="401"/>
      <c r="F1173" s="57"/>
      <c r="G1173" s="551"/>
      <c r="H1173" s="416"/>
      <c r="I1173" s="164"/>
      <c r="J1173" s="433"/>
      <c r="K1173" s="100"/>
      <c r="L1173" s="102"/>
      <c r="M1173" s="102"/>
      <c r="N1173" s="102"/>
      <c r="O1173" s="102"/>
      <c r="P1173" s="100"/>
      <c r="Q1173" s="164"/>
      <c r="R1173" s="164"/>
    </row>
    <row r="1174" spans="1:18" s="149" customFormat="1" ht="31.5" customHeight="1">
      <c r="A1174" s="135">
        <v>18</v>
      </c>
      <c r="B1174" s="616" t="s">
        <v>1171</v>
      </c>
      <c r="C1174" s="4"/>
      <c r="D1174" s="16"/>
      <c r="E1174" s="16"/>
      <c r="F1174" s="16"/>
      <c r="G1174" s="49"/>
      <c r="H1174" s="143"/>
      <c r="I1174" s="164"/>
      <c r="J1174" s="164"/>
      <c r="K1174" s="165"/>
      <c r="L1174" s="165"/>
      <c r="M1174" s="165"/>
      <c r="N1174" s="164"/>
      <c r="O1174" s="164"/>
      <c r="P1174" s="164"/>
      <c r="Q1174" s="164"/>
      <c r="R1174" s="164"/>
    </row>
    <row r="1175" spans="1:18" s="149" customFormat="1">
      <c r="A1175" s="135"/>
      <c r="B1175" s="143" t="s">
        <v>1292</v>
      </c>
      <c r="C1175" s="4"/>
      <c r="D1175" s="16"/>
      <c r="E1175" s="16"/>
      <c r="F1175" s="16"/>
      <c r="G1175" s="551"/>
      <c r="H1175" s="516"/>
      <c r="I1175" s="164"/>
      <c r="J1175" s="164"/>
      <c r="K1175" s="165"/>
      <c r="L1175" s="165"/>
      <c r="M1175" s="165"/>
      <c r="N1175" s="164"/>
      <c r="O1175" s="164"/>
      <c r="P1175" s="164"/>
      <c r="Q1175" s="164"/>
      <c r="R1175" s="164"/>
    </row>
    <row r="1176" spans="1:18" s="149" customFormat="1">
      <c r="A1176" s="135"/>
      <c r="B1176" s="143" t="s">
        <v>1293</v>
      </c>
      <c r="C1176" s="4"/>
      <c r="D1176" s="16"/>
      <c r="E1176" s="16"/>
      <c r="F1176" s="16"/>
      <c r="G1176" s="49">
        <f>G914+G947+G959</f>
        <v>4451.0413145879993</v>
      </c>
      <c r="H1176" s="143"/>
      <c r="I1176" s="164"/>
      <c r="J1176" s="164"/>
      <c r="K1176" s="165"/>
      <c r="L1176" s="165"/>
      <c r="M1176" s="165"/>
      <c r="N1176" s="164"/>
      <c r="O1176" s="164"/>
      <c r="P1176" s="164"/>
      <c r="Q1176" s="164"/>
      <c r="R1176" s="164"/>
    </row>
    <row r="1177" spans="1:18" s="149" customFormat="1">
      <c r="A1177" s="135"/>
      <c r="B1177" s="143" t="s">
        <v>1294</v>
      </c>
      <c r="C1177" s="4"/>
      <c r="D1177" s="16"/>
      <c r="E1177" s="16"/>
      <c r="F1177" s="16"/>
      <c r="G1177" s="49">
        <f>G1005+G1042+G1054</f>
        <v>4393.3420653760004</v>
      </c>
      <c r="H1177" s="143"/>
      <c r="I1177" s="164"/>
      <c r="J1177" s="164"/>
      <c r="K1177" s="165"/>
      <c r="L1177" s="165"/>
      <c r="M1177" s="165"/>
      <c r="N1177" s="164"/>
      <c r="O1177" s="164"/>
      <c r="P1177" s="164"/>
      <c r="Q1177" s="164"/>
      <c r="R1177" s="164"/>
    </row>
    <row r="1178" spans="1:18" s="149" customFormat="1">
      <c r="A1178" s="135"/>
      <c r="B1178" s="143" t="s">
        <v>1295</v>
      </c>
      <c r="C1178" s="4"/>
      <c r="D1178" s="16"/>
      <c r="E1178" s="16"/>
      <c r="F1178" s="16"/>
      <c r="G1178" s="556">
        <f>G1097+G1125+G1129</f>
        <v>2295.7165879539189</v>
      </c>
      <c r="H1178" s="143"/>
      <c r="I1178" s="164"/>
      <c r="J1178" s="164"/>
      <c r="K1178" s="165"/>
      <c r="L1178" s="165"/>
      <c r="M1178" s="165"/>
      <c r="N1178" s="164"/>
      <c r="O1178" s="164"/>
      <c r="P1178" s="164"/>
      <c r="Q1178" s="164"/>
      <c r="R1178" s="164"/>
    </row>
    <row r="1179" spans="1:18" s="149" customFormat="1">
      <c r="A1179" s="135"/>
      <c r="B1179" s="143"/>
      <c r="C1179" s="4"/>
      <c r="D1179" s="16"/>
      <c r="E1179" s="16"/>
      <c r="F1179" s="16"/>
      <c r="G1179" s="49">
        <f>SUM(G1176:G1178)</f>
        <v>11140.099967917919</v>
      </c>
      <c r="H1179" s="143" t="s">
        <v>32</v>
      </c>
      <c r="I1179" s="164"/>
      <c r="J1179" s="164"/>
      <c r="K1179" s="165"/>
      <c r="L1179" s="165"/>
      <c r="M1179" s="165"/>
      <c r="N1179" s="164"/>
      <c r="O1179" s="164"/>
      <c r="P1179" s="164"/>
      <c r="Q1179" s="164"/>
      <c r="R1179" s="164"/>
    </row>
    <row r="1180" spans="1:18" s="149" customFormat="1">
      <c r="A1180" s="135"/>
      <c r="B1180" s="143" t="s">
        <v>1021</v>
      </c>
      <c r="C1180" s="4"/>
      <c r="D1180" s="16"/>
      <c r="E1180" s="16"/>
      <c r="F1180" s="16"/>
      <c r="G1180" s="49"/>
      <c r="H1180" s="143"/>
      <c r="I1180" s="164"/>
      <c r="J1180" s="164"/>
      <c r="K1180" s="165"/>
      <c r="L1180" s="165"/>
      <c r="M1180" s="165"/>
      <c r="N1180" s="164"/>
      <c r="O1180" s="164"/>
      <c r="P1180" s="164"/>
      <c r="Q1180" s="164"/>
      <c r="R1180" s="164"/>
    </row>
    <row r="1181" spans="1:18" s="149" customFormat="1">
      <c r="A1181" s="135"/>
      <c r="B1181" s="143" t="s">
        <v>1296</v>
      </c>
      <c r="C1181" s="4"/>
      <c r="D1181" s="16"/>
      <c r="E1181" s="16"/>
      <c r="F1181" s="16"/>
      <c r="G1181" s="412">
        <f>G1224+G1216+G1202</f>
        <v>2758.00236602</v>
      </c>
      <c r="H1181" s="143"/>
      <c r="I1181" s="164"/>
      <c r="J1181" s="164"/>
      <c r="K1181" s="165"/>
      <c r="L1181" s="165"/>
      <c r="M1181" s="165"/>
      <c r="N1181" s="164"/>
      <c r="O1181" s="164"/>
      <c r="P1181" s="164"/>
      <c r="Q1181" s="164"/>
      <c r="R1181" s="164"/>
    </row>
    <row r="1182" spans="1:18" s="149" customFormat="1">
      <c r="A1182" s="135"/>
      <c r="B1182" s="143" t="s">
        <v>1297</v>
      </c>
      <c r="C1182" s="4"/>
      <c r="D1182" s="16"/>
      <c r="E1182" s="16"/>
      <c r="F1182" s="16"/>
      <c r="G1182" s="556">
        <f>G777+G797</f>
        <v>1106.7391500000003</v>
      </c>
      <c r="H1182" s="143"/>
      <c r="I1182" s="164"/>
      <c r="J1182" s="164"/>
      <c r="K1182" s="165"/>
      <c r="L1182" s="165"/>
      <c r="M1182" s="165"/>
      <c r="N1182" s="164"/>
      <c r="O1182" s="164"/>
      <c r="P1182" s="164"/>
      <c r="Q1182" s="164"/>
      <c r="R1182" s="164"/>
    </row>
    <row r="1183" spans="1:18" s="149" customFormat="1">
      <c r="A1183" s="135"/>
      <c r="B1183" s="143"/>
      <c r="C1183" s="4"/>
      <c r="D1183" s="16"/>
      <c r="E1183" s="16"/>
      <c r="F1183" s="16"/>
      <c r="G1183" s="49">
        <f>SUM(G1181:G1182)</f>
        <v>3864.7415160200003</v>
      </c>
      <c r="H1183" s="143" t="s">
        <v>32</v>
      </c>
      <c r="I1183" s="164"/>
      <c r="J1183" s="164"/>
      <c r="K1183" s="165"/>
      <c r="L1183" s="165"/>
      <c r="M1183" s="165"/>
      <c r="N1183" s="164"/>
      <c r="O1183" s="164"/>
      <c r="P1183" s="164"/>
      <c r="Q1183" s="164"/>
      <c r="R1183" s="164"/>
    </row>
    <row r="1184" spans="1:18" s="149" customFormat="1">
      <c r="A1184" s="135"/>
      <c r="B1184" s="143"/>
      <c r="C1184" s="4"/>
      <c r="D1184" s="16"/>
      <c r="E1184" s="16"/>
      <c r="F1184" s="16"/>
      <c r="G1184" s="49"/>
      <c r="H1184" s="143"/>
      <c r="I1184" s="164"/>
      <c r="J1184" s="164"/>
      <c r="K1184" s="165"/>
      <c r="L1184" s="165"/>
      <c r="M1184" s="165"/>
      <c r="N1184" s="164"/>
      <c r="O1184" s="164"/>
      <c r="P1184" s="164"/>
      <c r="Q1184" s="164"/>
      <c r="R1184" s="164"/>
    </row>
    <row r="1185" spans="1:18" s="149" customFormat="1">
      <c r="A1185" s="135"/>
      <c r="B1185" s="143"/>
      <c r="C1185" s="4"/>
      <c r="D1185" s="16"/>
      <c r="E1185" s="16"/>
      <c r="F1185" s="16"/>
      <c r="G1185" s="49">
        <f>G1179-G1183</f>
        <v>7275.3584518979187</v>
      </c>
      <c r="H1185" s="143"/>
      <c r="I1185" s="164"/>
      <c r="J1185" s="164"/>
      <c r="K1185" s="165"/>
      <c r="L1185" s="165"/>
      <c r="M1185" s="165"/>
      <c r="N1185" s="164"/>
      <c r="O1185" s="164"/>
      <c r="P1185" s="164"/>
      <c r="Q1185" s="164"/>
      <c r="R1185" s="164"/>
    </row>
    <row r="1186" spans="1:18" s="149" customFormat="1">
      <c r="A1186" s="135"/>
      <c r="B1186" s="143"/>
      <c r="C1186" s="4"/>
      <c r="D1186" s="16"/>
      <c r="E1186" s="16"/>
      <c r="F1186" s="16"/>
      <c r="G1186" s="656">
        <f>G1185*10%</f>
        <v>727.53584518979187</v>
      </c>
      <c r="H1186" s="143"/>
      <c r="I1186" s="164"/>
      <c r="J1186" s="164"/>
      <c r="K1186" s="165"/>
      <c r="L1186" s="165"/>
      <c r="M1186" s="165"/>
      <c r="N1186" s="164"/>
      <c r="O1186" s="164"/>
      <c r="P1186" s="164"/>
      <c r="Q1186" s="164"/>
      <c r="R1186" s="164"/>
    </row>
    <row r="1187" spans="1:18" s="149" customFormat="1">
      <c r="A1187" s="135"/>
      <c r="B1187" s="143"/>
      <c r="C1187" s="4"/>
      <c r="D1187" s="16"/>
      <c r="E1187" s="16"/>
      <c r="F1187" s="16"/>
      <c r="G1187" s="551">
        <f>G1186+G1185</f>
        <v>8002.8942970877106</v>
      </c>
      <c r="H1187" s="143" t="s">
        <v>32</v>
      </c>
      <c r="I1187" s="164"/>
      <c r="J1187" s="164"/>
      <c r="K1187" s="165"/>
      <c r="L1187" s="165"/>
      <c r="M1187" s="165"/>
      <c r="N1187" s="164"/>
      <c r="O1187" s="164"/>
      <c r="P1187" s="164"/>
      <c r="Q1187" s="164"/>
      <c r="R1187" s="164"/>
    </row>
    <row r="1188" spans="1:18" s="149" customFormat="1" ht="15">
      <c r="A1188" s="135"/>
      <c r="B1188" s="143"/>
      <c r="C1188" s="4"/>
      <c r="D1188" s="16"/>
      <c r="E1188" s="16"/>
      <c r="F1188" s="16"/>
      <c r="G1188" s="526"/>
      <c r="H1188" s="143"/>
      <c r="I1188" s="164"/>
      <c r="J1188" s="164"/>
      <c r="K1188" s="165"/>
      <c r="L1188" s="165"/>
      <c r="M1188" s="165"/>
      <c r="N1188" s="164"/>
      <c r="O1188" s="164"/>
      <c r="P1188" s="164"/>
      <c r="Q1188" s="164"/>
      <c r="R1188" s="164"/>
    </row>
    <row r="1189" spans="1:18" s="149" customFormat="1">
      <c r="A1189" s="135">
        <v>19</v>
      </c>
      <c r="B1189" s="534" t="s">
        <v>1172</v>
      </c>
      <c r="C1189" s="4"/>
      <c r="D1189" s="16"/>
      <c r="E1189" s="16"/>
      <c r="F1189" s="16"/>
      <c r="G1189" s="49"/>
      <c r="H1189" s="143"/>
      <c r="I1189" s="504"/>
      <c r="J1189" s="164"/>
      <c r="K1189" s="165"/>
      <c r="L1189" s="165"/>
      <c r="M1189" s="165"/>
      <c r="N1189" s="164"/>
      <c r="O1189" s="164"/>
      <c r="P1189" s="164"/>
      <c r="Q1189" s="164"/>
      <c r="R1189" s="164"/>
    </row>
    <row r="1190" spans="1:18" s="149" customFormat="1">
      <c r="A1190" s="135"/>
      <c r="B1190" s="516" t="s">
        <v>1051</v>
      </c>
      <c r="C1190" s="4">
        <v>1</v>
      </c>
      <c r="D1190" s="16">
        <f>244258.0264/1000</f>
        <v>244.25802640000001</v>
      </c>
      <c r="E1190" s="16"/>
      <c r="F1190" s="572">
        <f>3.6+0.6</f>
        <v>4.2</v>
      </c>
      <c r="G1190" s="412">
        <f>F1190*D1190*C1190</f>
        <v>1025.8837108800001</v>
      </c>
      <c r="H1190" s="143"/>
      <c r="I1190" s="504"/>
      <c r="J1190" s="164"/>
      <c r="K1190" s="165"/>
      <c r="L1190" s="165"/>
      <c r="M1190" s="165"/>
      <c r="N1190" s="164"/>
      <c r="O1190" s="164"/>
      <c r="P1190" s="164"/>
      <c r="Q1190" s="164"/>
      <c r="R1190" s="164"/>
    </row>
    <row r="1191" spans="1:18" s="149" customFormat="1">
      <c r="A1191" s="135"/>
      <c r="B1191" s="143"/>
      <c r="C1191" s="4"/>
      <c r="D1191" s="16"/>
      <c r="E1191" s="16"/>
      <c r="F1191" s="16"/>
      <c r="G1191" s="412"/>
      <c r="H1191" s="143"/>
      <c r="I1191" s="504"/>
      <c r="J1191" s="164"/>
      <c r="K1191" s="165"/>
      <c r="L1191" s="165"/>
      <c r="M1191" s="165"/>
      <c r="N1191" s="164"/>
      <c r="O1191" s="164"/>
      <c r="P1191" s="164"/>
      <c r="Q1191" s="164"/>
      <c r="R1191" s="164"/>
    </row>
    <row r="1192" spans="1:18" s="149" customFormat="1">
      <c r="A1192" s="135"/>
      <c r="B1192" s="143" t="s">
        <v>1230</v>
      </c>
      <c r="C1192" s="4"/>
      <c r="D1192" s="16"/>
      <c r="E1192" s="16"/>
      <c r="F1192" s="16"/>
      <c r="G1192" s="49"/>
      <c r="H1192" s="143"/>
      <c r="I1192" s="504"/>
      <c r="J1192" s="164"/>
      <c r="K1192" s="165"/>
      <c r="L1192" s="165"/>
      <c r="M1192" s="165"/>
      <c r="N1192" s="164"/>
      <c r="O1192" s="164"/>
      <c r="P1192" s="164"/>
      <c r="Q1192" s="164"/>
      <c r="R1192" s="164"/>
    </row>
    <row r="1193" spans="1:18" s="149" customFormat="1">
      <c r="A1193" s="135"/>
      <c r="B1193" s="149" t="s">
        <v>1360</v>
      </c>
      <c r="C1193" s="55">
        <v>3</v>
      </c>
      <c r="D1193" s="184">
        <v>1.5</v>
      </c>
      <c r="E1193" s="184"/>
      <c r="F1193" s="184">
        <v>2.1</v>
      </c>
      <c r="G1193" s="412">
        <f>F1193*D1193*C1193</f>
        <v>9.4500000000000011</v>
      </c>
      <c r="H1193" s="143"/>
      <c r="I1193" s="504"/>
      <c r="J1193" s="164"/>
      <c r="K1193" s="165"/>
      <c r="L1193" s="165"/>
      <c r="M1193" s="165"/>
      <c r="N1193" s="164"/>
      <c r="O1193" s="164"/>
      <c r="P1193" s="164"/>
      <c r="Q1193" s="164"/>
      <c r="R1193" s="164"/>
    </row>
    <row r="1194" spans="1:18" s="149" customFormat="1">
      <c r="A1194" s="135"/>
      <c r="B1194" s="149" t="s">
        <v>1224</v>
      </c>
      <c r="C1194" s="55">
        <v>41</v>
      </c>
      <c r="D1194" s="184">
        <v>1.2</v>
      </c>
      <c r="E1194" s="184"/>
      <c r="F1194" s="184">
        <v>1.35</v>
      </c>
      <c r="G1194" s="432">
        <f>F1194*D1194*C1194</f>
        <v>66.42</v>
      </c>
      <c r="H1194" s="430"/>
      <c r="I1194" s="504"/>
      <c r="J1194" s="164"/>
      <c r="K1194" s="165"/>
      <c r="L1194" s="165"/>
      <c r="M1194" s="165"/>
      <c r="N1194" s="164"/>
      <c r="O1194" s="164"/>
      <c r="P1194" s="164"/>
      <c r="Q1194" s="164"/>
      <c r="R1194" s="164"/>
    </row>
    <row r="1195" spans="1:18" s="149" customFormat="1">
      <c r="A1195" s="135"/>
      <c r="B1195" s="224" t="s">
        <v>1361</v>
      </c>
      <c r="C1195" s="55">
        <v>6</v>
      </c>
      <c r="D1195" s="184">
        <v>1.8</v>
      </c>
      <c r="E1195" s="184"/>
      <c r="F1195" s="184">
        <v>1.35</v>
      </c>
      <c r="G1195" s="578">
        <f>F1195*D1195*C1195</f>
        <v>14.580000000000002</v>
      </c>
      <c r="H1195" s="166"/>
      <c r="I1195" s="504"/>
      <c r="J1195" s="164"/>
      <c r="K1195" s="165"/>
      <c r="L1195" s="165"/>
      <c r="M1195" s="165"/>
      <c r="N1195" s="164"/>
      <c r="O1195" s="164"/>
      <c r="P1195" s="164"/>
      <c r="Q1195" s="164"/>
      <c r="R1195" s="164"/>
    </row>
    <row r="1196" spans="1:18" s="149" customFormat="1">
      <c r="A1196" s="135"/>
      <c r="B1196" s="20" t="s">
        <v>1362</v>
      </c>
      <c r="C1196" s="55">
        <v>33</v>
      </c>
      <c r="D1196" s="184">
        <v>0.6</v>
      </c>
      <c r="E1196" s="184"/>
      <c r="F1196" s="184">
        <v>0.6</v>
      </c>
      <c r="G1196" s="652">
        <f>F1196*D1196*C1196</f>
        <v>11.879999999999999</v>
      </c>
      <c r="H1196" s="143"/>
      <c r="I1196" s="504"/>
      <c r="J1196" s="164"/>
      <c r="K1196" s="165"/>
      <c r="L1196" s="165"/>
      <c r="M1196" s="165"/>
      <c r="N1196" s="164"/>
      <c r="O1196" s="164"/>
      <c r="P1196" s="164"/>
      <c r="Q1196" s="164"/>
      <c r="R1196" s="164"/>
    </row>
    <row r="1197" spans="1:18" s="149" customFormat="1">
      <c r="A1197" s="135"/>
      <c r="B1197" s="143"/>
      <c r="C1197" s="4"/>
      <c r="D1197" s="16"/>
      <c r="E1197" s="16"/>
      <c r="F1197" s="16"/>
      <c r="G1197" s="578">
        <f>SUM(G1193:G1196)</f>
        <v>102.33</v>
      </c>
      <c r="H1197" s="143"/>
      <c r="I1197" s="504"/>
      <c r="J1197" s="164"/>
      <c r="K1197" s="165"/>
      <c r="L1197" s="165"/>
      <c r="M1197" s="165"/>
      <c r="N1197" s="164"/>
      <c r="O1197" s="164"/>
      <c r="P1197" s="164"/>
      <c r="Q1197" s="164"/>
      <c r="R1197" s="164"/>
    </row>
    <row r="1198" spans="1:18" s="149" customFormat="1">
      <c r="A1198" s="135"/>
      <c r="B1198" s="143"/>
      <c r="C1198" s="4"/>
      <c r="D1198" s="16"/>
      <c r="E1198" s="16"/>
      <c r="F1198" s="16"/>
      <c r="G1198" s="49">
        <f>G1197/2</f>
        <v>51.164999999999999</v>
      </c>
      <c r="H1198" s="143"/>
      <c r="I1198" s="504"/>
      <c r="J1198" s="164"/>
      <c r="K1198" s="165"/>
      <c r="L1198" s="165"/>
      <c r="M1198" s="165"/>
      <c r="N1198" s="164"/>
      <c r="O1198" s="164"/>
      <c r="P1198" s="164"/>
      <c r="Q1198" s="164"/>
      <c r="R1198" s="164"/>
    </row>
    <row r="1199" spans="1:18" s="149" customFormat="1">
      <c r="A1199" s="135"/>
      <c r="B1199" s="143"/>
      <c r="C1199" s="4"/>
      <c r="D1199" s="16"/>
      <c r="E1199" s="16"/>
      <c r="F1199" s="16"/>
      <c r="G1199" s="413"/>
      <c r="H1199" s="433"/>
      <c r="I1199" s="504"/>
      <c r="J1199" s="164"/>
      <c r="K1199" s="165"/>
      <c r="L1199" s="165"/>
      <c r="M1199" s="165"/>
      <c r="N1199" s="164"/>
      <c r="O1199" s="164"/>
      <c r="P1199" s="164"/>
      <c r="Q1199" s="164"/>
      <c r="R1199" s="164"/>
    </row>
    <row r="1200" spans="1:18" s="149" customFormat="1">
      <c r="A1200" s="135"/>
      <c r="B1200" s="143"/>
      <c r="C1200" s="4"/>
      <c r="D1200" s="16"/>
      <c r="E1200" s="16"/>
      <c r="F1200" s="16"/>
      <c r="G1200" s="413">
        <f>G1190-G1198</f>
        <v>974.71871088000012</v>
      </c>
      <c r="H1200" s="433"/>
      <c r="I1200" s="504"/>
      <c r="J1200" s="164"/>
      <c r="K1200" s="165"/>
      <c r="L1200" s="165"/>
      <c r="M1200" s="165"/>
      <c r="N1200" s="164"/>
      <c r="O1200" s="164"/>
      <c r="P1200" s="164"/>
      <c r="Q1200" s="164"/>
      <c r="R1200" s="164"/>
    </row>
    <row r="1201" spans="1:18" s="149" customFormat="1">
      <c r="A1201" s="135"/>
      <c r="B1201" s="143"/>
      <c r="C1201" s="4"/>
      <c r="D1201" s="16"/>
      <c r="E1201" s="16"/>
      <c r="F1201" s="16"/>
      <c r="G1201" s="656">
        <f>G1200*10%</f>
        <v>97.471871088000015</v>
      </c>
      <c r="H1201" s="433"/>
      <c r="I1201" s="504"/>
      <c r="J1201" s="164"/>
      <c r="K1201" s="165"/>
      <c r="L1201" s="165"/>
      <c r="M1201" s="165"/>
      <c r="N1201" s="164"/>
      <c r="O1201" s="164"/>
      <c r="P1201" s="164"/>
      <c r="Q1201" s="164"/>
      <c r="R1201" s="164"/>
    </row>
    <row r="1202" spans="1:18" s="149" customFormat="1" ht="15">
      <c r="A1202" s="135"/>
      <c r="B1202" s="143"/>
      <c r="C1202" s="4"/>
      <c r="D1202" s="16"/>
      <c r="E1202" s="16"/>
      <c r="F1202" s="16"/>
      <c r="G1202" s="551">
        <f>G1201+G1200</f>
        <v>1072.1905819680001</v>
      </c>
      <c r="H1202" s="541" t="s">
        <v>32</v>
      </c>
      <c r="I1202" s="504"/>
      <c r="J1202" s="164"/>
      <c r="K1202" s="165"/>
      <c r="L1202" s="165"/>
      <c r="M1202" s="165"/>
      <c r="N1202" s="164"/>
      <c r="O1202" s="164"/>
      <c r="P1202" s="164"/>
      <c r="Q1202" s="164"/>
      <c r="R1202" s="164"/>
    </row>
    <row r="1203" spans="1:18" s="149" customFormat="1" ht="15">
      <c r="A1203" s="135"/>
      <c r="B1203" s="143"/>
      <c r="C1203" s="4"/>
      <c r="D1203" s="16"/>
      <c r="E1203" s="16"/>
      <c r="F1203" s="16"/>
      <c r="G1203" s="526"/>
      <c r="H1203" s="541"/>
      <c r="I1203" s="504"/>
      <c r="J1203" s="164"/>
      <c r="K1203" s="165"/>
      <c r="L1203" s="165"/>
      <c r="M1203" s="165"/>
      <c r="N1203" s="164"/>
      <c r="O1203" s="164"/>
      <c r="P1203" s="164"/>
      <c r="Q1203" s="164"/>
      <c r="R1203" s="164"/>
    </row>
    <row r="1204" spans="1:18" s="149" customFormat="1">
      <c r="A1204" s="135"/>
      <c r="B1204" s="516" t="s">
        <v>1214</v>
      </c>
      <c r="C1204" s="4">
        <v>1</v>
      </c>
      <c r="D1204" s="16">
        <f>254444.2443/1000</f>
        <v>254.44424429999998</v>
      </c>
      <c r="E1204" s="16"/>
      <c r="F1204" s="16">
        <v>3.6</v>
      </c>
      <c r="G1204" s="49">
        <f>F1204*D1204*C1204</f>
        <v>915.99927947999993</v>
      </c>
      <c r="H1204" s="143"/>
      <c r="I1204" s="504"/>
      <c r="J1204" s="164"/>
      <c r="K1204" s="165"/>
      <c r="L1204" s="165"/>
      <c r="M1204" s="165"/>
      <c r="N1204" s="164"/>
      <c r="O1204" s="164"/>
      <c r="P1204" s="164"/>
      <c r="Q1204" s="164"/>
      <c r="R1204" s="164"/>
    </row>
    <row r="1205" spans="1:18" s="149" customFormat="1">
      <c r="A1205" s="135"/>
      <c r="B1205" s="143"/>
      <c r="C1205" s="4"/>
      <c r="D1205" s="16"/>
      <c r="E1205" s="16"/>
      <c r="F1205" s="16"/>
      <c r="G1205" s="49"/>
      <c r="H1205" s="143"/>
      <c r="I1205" s="504"/>
      <c r="J1205" s="164"/>
      <c r="K1205" s="165"/>
      <c r="L1205" s="165"/>
      <c r="M1205" s="165"/>
      <c r="N1205" s="164"/>
      <c r="O1205" s="164"/>
      <c r="P1205" s="164"/>
      <c r="Q1205" s="164"/>
      <c r="R1205" s="164"/>
    </row>
    <row r="1206" spans="1:18" s="149" customFormat="1">
      <c r="A1206" s="135"/>
      <c r="B1206" s="143" t="s">
        <v>1230</v>
      </c>
      <c r="C1206" s="4"/>
      <c r="D1206" s="16"/>
      <c r="E1206" s="16"/>
      <c r="F1206" s="16"/>
      <c r="G1206" s="49"/>
      <c r="H1206" s="143"/>
      <c r="I1206" s="504"/>
      <c r="J1206" s="164"/>
      <c r="K1206" s="165"/>
      <c r="L1206" s="165"/>
      <c r="M1206" s="165"/>
      <c r="N1206" s="164"/>
      <c r="O1206" s="164"/>
      <c r="P1206" s="164"/>
      <c r="Q1206" s="164"/>
      <c r="R1206" s="164"/>
    </row>
    <row r="1207" spans="1:18" s="149" customFormat="1">
      <c r="A1207" s="135"/>
      <c r="B1207" s="149" t="s">
        <v>1357</v>
      </c>
      <c r="C1207" s="55">
        <v>2</v>
      </c>
      <c r="D1207" s="184">
        <v>1.05</v>
      </c>
      <c r="E1207" s="184"/>
      <c r="F1207" s="184">
        <v>2.1</v>
      </c>
      <c r="G1207" s="412">
        <f>F1207*D1207*C1207</f>
        <v>4.41</v>
      </c>
      <c r="H1207" s="143"/>
      <c r="I1207" s="504"/>
      <c r="J1207" s="164"/>
      <c r="K1207" s="165"/>
      <c r="L1207" s="165"/>
      <c r="M1207" s="165"/>
      <c r="N1207" s="164"/>
      <c r="O1207" s="164"/>
      <c r="P1207" s="164"/>
      <c r="Q1207" s="164"/>
      <c r="R1207" s="164"/>
    </row>
    <row r="1208" spans="1:18" s="149" customFormat="1">
      <c r="A1208" s="135"/>
      <c r="B1208" s="149" t="s">
        <v>1224</v>
      </c>
      <c r="C1208" s="55">
        <v>40</v>
      </c>
      <c r="D1208" s="184">
        <v>1.2</v>
      </c>
      <c r="E1208" s="184"/>
      <c r="F1208" s="184">
        <v>1.35</v>
      </c>
      <c r="G1208" s="412">
        <f>F1208*D1208*C1208</f>
        <v>64.800000000000011</v>
      </c>
      <c r="H1208" s="143"/>
      <c r="I1208" s="504"/>
      <c r="J1208" s="164"/>
      <c r="K1208" s="165"/>
      <c r="L1208" s="165"/>
      <c r="M1208" s="165"/>
      <c r="N1208" s="164"/>
      <c r="O1208" s="164"/>
      <c r="P1208" s="164"/>
      <c r="Q1208" s="164"/>
      <c r="R1208" s="164"/>
    </row>
    <row r="1209" spans="1:18" s="149" customFormat="1">
      <c r="A1209" s="135"/>
      <c r="B1209" s="224" t="s">
        <v>1361</v>
      </c>
      <c r="C1209" s="55">
        <v>3</v>
      </c>
      <c r="D1209" s="184">
        <v>1.8</v>
      </c>
      <c r="E1209" s="184"/>
      <c r="F1209" s="184">
        <v>1.35</v>
      </c>
      <c r="G1209" s="412">
        <f>F1209*D1209*C1209</f>
        <v>7.2900000000000009</v>
      </c>
      <c r="H1209" s="143"/>
      <c r="I1209" s="504"/>
      <c r="J1209" s="164"/>
      <c r="K1209" s="165"/>
      <c r="L1209" s="165"/>
      <c r="M1209" s="165"/>
      <c r="N1209" s="164"/>
      <c r="O1209" s="164"/>
      <c r="P1209" s="164"/>
      <c r="Q1209" s="164"/>
      <c r="R1209" s="164"/>
    </row>
    <row r="1210" spans="1:18" s="149" customFormat="1">
      <c r="A1210" s="135"/>
      <c r="B1210" s="20" t="s">
        <v>1362</v>
      </c>
      <c r="C1210" s="55">
        <v>33</v>
      </c>
      <c r="D1210" s="184">
        <v>0.6</v>
      </c>
      <c r="E1210" s="184"/>
      <c r="F1210" s="184">
        <v>0.6</v>
      </c>
      <c r="G1210" s="556">
        <f>F1210*D1210*C1210</f>
        <v>11.879999999999999</v>
      </c>
      <c r="H1210" s="143"/>
      <c r="I1210" s="504"/>
      <c r="J1210" s="164"/>
      <c r="K1210" s="165"/>
      <c r="L1210" s="165"/>
      <c r="M1210" s="165"/>
      <c r="N1210" s="164"/>
      <c r="O1210" s="164"/>
      <c r="P1210" s="164"/>
      <c r="Q1210" s="164"/>
      <c r="R1210" s="164"/>
    </row>
    <row r="1211" spans="1:18" s="149" customFormat="1">
      <c r="A1211" s="135"/>
      <c r="C1211" s="121"/>
      <c r="D1211" s="120"/>
      <c r="E1211" s="165"/>
      <c r="F1211" s="173"/>
      <c r="G1211" s="432">
        <f>SUM(G1207:G1210)</f>
        <v>88.38000000000001</v>
      </c>
      <c r="H1211" s="143"/>
      <c r="I1211" s="504"/>
      <c r="J1211" s="164"/>
      <c r="K1211" s="165"/>
      <c r="L1211" s="165"/>
      <c r="M1211" s="165"/>
      <c r="N1211" s="164"/>
      <c r="O1211" s="164"/>
      <c r="P1211" s="164"/>
      <c r="Q1211" s="164"/>
      <c r="R1211" s="164"/>
    </row>
    <row r="1212" spans="1:18" s="149" customFormat="1">
      <c r="A1212" s="135"/>
      <c r="C1212" s="121"/>
      <c r="D1212" s="173"/>
      <c r="E1212" s="165"/>
      <c r="F1212" s="173"/>
      <c r="G1212" s="432">
        <f>G1211/2</f>
        <v>44.190000000000005</v>
      </c>
      <c r="H1212" s="143"/>
      <c r="I1212" s="504"/>
      <c r="J1212" s="164"/>
      <c r="K1212" s="165"/>
      <c r="L1212" s="165"/>
      <c r="M1212" s="165"/>
      <c r="N1212" s="164"/>
      <c r="O1212" s="164"/>
      <c r="P1212" s="164"/>
      <c r="Q1212" s="164"/>
      <c r="R1212" s="164"/>
    </row>
    <row r="1213" spans="1:18" s="149" customFormat="1">
      <c r="A1213" s="135"/>
      <c r="B1213" s="143"/>
      <c r="C1213" s="4"/>
      <c r="D1213" s="16"/>
      <c r="E1213" s="16"/>
      <c r="F1213" s="16"/>
      <c r="G1213" s="546"/>
      <c r="H1213" s="143"/>
      <c r="I1213" s="504"/>
      <c r="J1213" s="164"/>
      <c r="K1213" s="165"/>
      <c r="L1213" s="165"/>
      <c r="M1213" s="165"/>
      <c r="N1213" s="164"/>
      <c r="O1213" s="164"/>
      <c r="P1213" s="164"/>
      <c r="Q1213" s="164"/>
      <c r="R1213" s="164"/>
    </row>
    <row r="1214" spans="1:18" s="149" customFormat="1">
      <c r="A1214" s="135"/>
      <c r="B1214" s="143"/>
      <c r="C1214" s="4"/>
      <c r="D1214" s="16"/>
      <c r="E1214" s="16"/>
      <c r="F1214" s="16"/>
      <c r="G1214" s="546">
        <f>G1204-G1212</f>
        <v>871.80927947999987</v>
      </c>
      <c r="H1214" s="143"/>
      <c r="I1214" s="504"/>
      <c r="J1214" s="164"/>
      <c r="K1214" s="165"/>
      <c r="L1214" s="165"/>
      <c r="M1214" s="165"/>
      <c r="N1214" s="164"/>
      <c r="O1214" s="164"/>
      <c r="P1214" s="164"/>
      <c r="Q1214" s="164"/>
      <c r="R1214" s="164"/>
    </row>
    <row r="1215" spans="1:18" s="149" customFormat="1">
      <c r="A1215" s="135"/>
      <c r="B1215" s="143"/>
      <c r="C1215" s="4"/>
      <c r="D1215" s="16"/>
      <c r="E1215" s="16"/>
      <c r="F1215" s="16"/>
      <c r="G1215" s="656">
        <f>G1214*10%</f>
        <v>87.18092794799999</v>
      </c>
      <c r="H1215" s="143"/>
      <c r="I1215" s="504"/>
      <c r="J1215" s="164"/>
      <c r="K1215" s="165"/>
      <c r="L1215" s="165"/>
      <c r="M1215" s="165"/>
      <c r="N1215" s="164"/>
      <c r="O1215" s="164"/>
      <c r="P1215" s="164"/>
      <c r="Q1215" s="164"/>
      <c r="R1215" s="164"/>
    </row>
    <row r="1216" spans="1:18" s="164" customFormat="1" ht="15">
      <c r="A1216" s="249"/>
      <c r="B1216" s="433"/>
      <c r="C1216" s="100"/>
      <c r="D1216" s="102"/>
      <c r="E1216" s="102"/>
      <c r="F1216" s="102"/>
      <c r="G1216" s="551">
        <f>G1215+G1214</f>
        <v>958.99020742799985</v>
      </c>
      <c r="H1216" s="541" t="s">
        <v>32</v>
      </c>
      <c r="I1216" s="504"/>
      <c r="K1216" s="165"/>
      <c r="L1216" s="165"/>
      <c r="M1216" s="165"/>
    </row>
    <row r="1217" spans="1:18" s="164" customFormat="1">
      <c r="A1217" s="249"/>
      <c r="B1217" s="433"/>
      <c r="C1217" s="100"/>
      <c r="D1217" s="102"/>
      <c r="E1217" s="102"/>
      <c r="F1217" s="102"/>
      <c r="G1217" s="413"/>
      <c r="H1217" s="433"/>
      <c r="I1217" s="504"/>
      <c r="K1217" s="165"/>
      <c r="L1217" s="165"/>
      <c r="M1217" s="165"/>
    </row>
    <row r="1218" spans="1:18" s="149" customFormat="1" ht="15">
      <c r="A1218" s="135"/>
      <c r="B1218" s="516" t="s">
        <v>1376</v>
      </c>
      <c r="C1218" s="4">
        <v>2</v>
      </c>
      <c r="D1218" s="102">
        <f>19063.6433/1000</f>
        <v>19.063643299999999</v>
      </c>
      <c r="E1218" s="102"/>
      <c r="F1218" s="102">
        <v>2.4</v>
      </c>
      <c r="G1218" s="590">
        <f>F1218*D1218*C1218</f>
        <v>91.505487839999986</v>
      </c>
      <c r="H1218" s="541"/>
      <c r="I1218" s="504"/>
      <c r="J1218" s="164"/>
      <c r="K1218" s="165"/>
      <c r="L1218" s="165"/>
      <c r="M1218" s="165"/>
      <c r="N1218" s="164"/>
      <c r="O1218" s="164"/>
      <c r="P1218" s="164"/>
      <c r="Q1218" s="164"/>
      <c r="R1218" s="164"/>
    </row>
    <row r="1219" spans="1:18" s="149" customFormat="1" ht="15">
      <c r="A1219" s="135"/>
      <c r="B1219" s="143" t="s">
        <v>1230</v>
      </c>
      <c r="C1219" s="4">
        <v>-1</v>
      </c>
      <c r="D1219" s="102">
        <v>0.9</v>
      </c>
      <c r="E1219" s="102"/>
      <c r="F1219" s="102">
        <v>2.1</v>
      </c>
      <c r="G1219" s="590">
        <f>F1219*D1219*C1219</f>
        <v>-1.8900000000000001</v>
      </c>
      <c r="H1219" s="541"/>
      <c r="I1219" s="504"/>
      <c r="J1219" s="164"/>
      <c r="K1219" s="165"/>
      <c r="L1219" s="165"/>
      <c r="M1219" s="165"/>
      <c r="N1219" s="164"/>
      <c r="O1219" s="164"/>
      <c r="P1219" s="164"/>
      <c r="Q1219" s="164"/>
      <c r="R1219" s="164"/>
    </row>
    <row r="1220" spans="1:18" s="149" customFormat="1" ht="15">
      <c r="A1220" s="135"/>
      <c r="B1220" s="516" t="s">
        <v>1164</v>
      </c>
      <c r="C1220" s="4">
        <v>2</v>
      </c>
      <c r="D1220" s="102">
        <f>D740</f>
        <v>248.31800000000001</v>
      </c>
      <c r="E1220" s="102"/>
      <c r="F1220" s="102">
        <v>0.9</v>
      </c>
      <c r="G1220" s="590">
        <f>F1220*D1220*C1220</f>
        <v>446.97240000000005</v>
      </c>
      <c r="H1220" s="541"/>
      <c r="I1220" s="504"/>
      <c r="J1220" s="164"/>
      <c r="K1220" s="165"/>
      <c r="L1220" s="165"/>
      <c r="M1220" s="165"/>
      <c r="N1220" s="164"/>
      <c r="O1220" s="164"/>
      <c r="P1220" s="164"/>
      <c r="Q1220" s="164"/>
      <c r="R1220" s="164"/>
    </row>
    <row r="1221" spans="1:18" s="164" customFormat="1" ht="15">
      <c r="A1221" s="249"/>
      <c r="B1221" s="527"/>
      <c r="C1221" s="100">
        <v>2</v>
      </c>
      <c r="D1221" s="102">
        <f>D1220</f>
        <v>248.31800000000001</v>
      </c>
      <c r="E1221" s="102">
        <v>0.25</v>
      </c>
      <c r="F1221" s="102"/>
      <c r="G1221" s="596">
        <f>E1221*D1221*C1221</f>
        <v>124.15900000000001</v>
      </c>
      <c r="H1221" s="541"/>
      <c r="I1221" s="504"/>
      <c r="K1221" s="165"/>
      <c r="L1221" s="165"/>
      <c r="M1221" s="165"/>
    </row>
    <row r="1222" spans="1:18" s="164" customFormat="1" ht="15">
      <c r="A1222" s="249"/>
      <c r="B1222" s="527"/>
      <c r="C1222" s="100"/>
      <c r="D1222" s="102"/>
      <c r="E1222" s="102"/>
      <c r="F1222" s="102"/>
      <c r="G1222" s="590">
        <f>SUM(G1218:G1221)</f>
        <v>660.74688784</v>
      </c>
      <c r="H1222" s="752"/>
      <c r="I1222" s="504"/>
      <c r="K1222" s="165"/>
      <c r="L1222" s="165"/>
      <c r="M1222" s="165"/>
    </row>
    <row r="1223" spans="1:18" s="164" customFormat="1" ht="15">
      <c r="A1223" s="249"/>
      <c r="B1223" s="527"/>
      <c r="C1223" s="100"/>
      <c r="D1223" s="102"/>
      <c r="E1223" s="102"/>
      <c r="F1223" s="102"/>
      <c r="G1223" s="656">
        <f>G1222*10%</f>
        <v>66.074688784000003</v>
      </c>
      <c r="H1223" s="752"/>
      <c r="I1223" s="504"/>
      <c r="K1223" s="165"/>
      <c r="L1223" s="165"/>
      <c r="M1223" s="165"/>
    </row>
    <row r="1224" spans="1:18" s="149" customFormat="1" ht="15">
      <c r="A1224" s="135"/>
      <c r="C1224" s="4"/>
      <c r="D1224" s="102"/>
      <c r="E1224" s="102"/>
      <c r="F1224" s="102"/>
      <c r="G1224" s="551">
        <f>G1223+G1222</f>
        <v>726.82157662400004</v>
      </c>
      <c r="H1224" s="541" t="s">
        <v>32</v>
      </c>
      <c r="I1224" s="504"/>
      <c r="J1224" s="164"/>
      <c r="K1224" s="165"/>
      <c r="L1224" s="165"/>
      <c r="M1224" s="165"/>
      <c r="N1224" s="164"/>
      <c r="O1224" s="164"/>
      <c r="P1224" s="164"/>
      <c r="Q1224" s="164"/>
      <c r="R1224" s="164"/>
    </row>
    <row r="1225" spans="1:18" s="149" customFormat="1" ht="15">
      <c r="A1225" s="135"/>
      <c r="C1225" s="4"/>
      <c r="D1225" s="102"/>
      <c r="E1225" s="102"/>
      <c r="F1225" s="102"/>
      <c r="G1225" s="526"/>
      <c r="H1225" s="433"/>
      <c r="I1225" s="504"/>
      <c r="J1225" s="164"/>
      <c r="K1225" s="165"/>
      <c r="L1225" s="165"/>
      <c r="M1225" s="165"/>
      <c r="N1225" s="164"/>
      <c r="O1225" s="164"/>
      <c r="P1225" s="164"/>
      <c r="Q1225" s="164"/>
      <c r="R1225" s="164"/>
    </row>
    <row r="1226" spans="1:18" s="149" customFormat="1" ht="27" customHeight="1">
      <c r="A1226" s="135">
        <v>20</v>
      </c>
      <c r="B1226" s="607" t="s">
        <v>1173</v>
      </c>
      <c r="C1226" s="607"/>
      <c r="D1226" s="16"/>
      <c r="E1226" s="16"/>
      <c r="F1226" s="16"/>
      <c r="G1226" s="49"/>
      <c r="H1226" s="143"/>
      <c r="I1226" s="504"/>
      <c r="J1226" s="496"/>
      <c r="K1226" s="496"/>
      <c r="L1226" s="495"/>
      <c r="M1226" s="495"/>
      <c r="N1226" s="493"/>
      <c r="O1226" s="492"/>
      <c r="P1226" s="486"/>
      <c r="Q1226" s="164"/>
      <c r="R1226" s="164"/>
    </row>
    <row r="1227" spans="1:18" s="149" customFormat="1" ht="15">
      <c r="A1227" s="135"/>
      <c r="B1227" s="215" t="s">
        <v>1051</v>
      </c>
      <c r="C1227" s="186"/>
      <c r="D1227" s="186"/>
      <c r="E1227" s="186"/>
      <c r="G1227" s="498"/>
      <c r="H1227" s="430"/>
      <c r="I1227" s="164"/>
      <c r="J1227" s="494"/>
      <c r="K1227" s="487"/>
      <c r="L1227" s="487"/>
      <c r="M1227" s="487"/>
      <c r="N1227" s="486"/>
      <c r="O1227" s="486"/>
      <c r="P1227" s="486"/>
      <c r="Q1227" s="164"/>
      <c r="R1227" s="164"/>
    </row>
    <row r="1228" spans="1:18" s="149" customFormat="1">
      <c r="A1228" s="135"/>
      <c r="B1228" s="149" t="s">
        <v>1224</v>
      </c>
      <c r="C1228" s="55">
        <v>41</v>
      </c>
      <c r="D1228" s="184">
        <v>1.2</v>
      </c>
      <c r="E1228" s="100"/>
      <c r="F1228" s="173">
        <f>4.5*0.3</f>
        <v>1.3499999999999999</v>
      </c>
      <c r="G1228" s="432">
        <f>F1228*D1228*C1228</f>
        <v>66.42</v>
      </c>
      <c r="H1228" s="430"/>
      <c r="I1228" s="164"/>
      <c r="K1228" s="55"/>
      <c r="L1228" s="184"/>
      <c r="M1228" s="184"/>
      <c r="N1228" s="184"/>
      <c r="O1228" s="486"/>
      <c r="P1228" s="486"/>
      <c r="Q1228" s="164"/>
      <c r="R1228" s="164"/>
    </row>
    <row r="1229" spans="1:18" s="149" customFormat="1">
      <c r="A1229" s="135"/>
      <c r="B1229" s="224" t="s">
        <v>1361</v>
      </c>
      <c r="C1229" s="55">
        <v>6</v>
      </c>
      <c r="D1229" s="184">
        <v>1.8</v>
      </c>
      <c r="E1229" s="100"/>
      <c r="F1229" s="173">
        <f>4.5*0.3</f>
        <v>1.3499999999999999</v>
      </c>
      <c r="G1229" s="500">
        <f>F1229*D1229*C1229</f>
        <v>14.579999999999998</v>
      </c>
      <c r="H1229" s="430"/>
      <c r="I1229" s="164"/>
      <c r="K1229" s="55"/>
      <c r="L1229" s="184"/>
      <c r="M1229" s="184"/>
      <c r="N1229" s="184"/>
      <c r="O1229" s="486"/>
      <c r="P1229" s="486"/>
      <c r="Q1229" s="164"/>
      <c r="R1229" s="164"/>
    </row>
    <row r="1230" spans="1:18" s="149" customFormat="1">
      <c r="A1230" s="135"/>
      <c r="B1230" s="224"/>
      <c r="C1230" s="55"/>
      <c r="D1230" s="184"/>
      <c r="E1230" s="100"/>
      <c r="F1230" s="173"/>
      <c r="G1230" s="432">
        <f>SUM(G1228:G1229)</f>
        <v>81</v>
      </c>
      <c r="H1230" s="430"/>
      <c r="I1230" s="164"/>
      <c r="K1230" s="55"/>
      <c r="L1230" s="184"/>
      <c r="M1230" s="184"/>
      <c r="N1230" s="184"/>
      <c r="O1230" s="486"/>
      <c r="P1230" s="486"/>
      <c r="Q1230" s="164"/>
      <c r="R1230" s="164"/>
    </row>
    <row r="1231" spans="1:18" s="149" customFormat="1">
      <c r="A1231" s="135"/>
      <c r="B1231" s="224"/>
      <c r="C1231" s="55"/>
      <c r="D1231" s="184"/>
      <c r="E1231" s="100"/>
      <c r="F1231" s="173"/>
      <c r="G1231" s="656">
        <f>G1230*10%</f>
        <v>8.1</v>
      </c>
      <c r="H1231" s="430"/>
      <c r="I1231" s="164"/>
      <c r="K1231" s="55"/>
      <c r="L1231" s="184"/>
      <c r="M1231" s="184"/>
      <c r="N1231" s="184"/>
      <c r="O1231" s="486"/>
      <c r="P1231" s="486"/>
      <c r="Q1231" s="164"/>
      <c r="R1231" s="164"/>
    </row>
    <row r="1232" spans="1:18" s="149" customFormat="1">
      <c r="A1232" s="135"/>
      <c r="B1232" s="534"/>
      <c r="E1232" s="121"/>
      <c r="G1232" s="551">
        <f>G1231+G1230</f>
        <v>89.1</v>
      </c>
      <c r="H1232" s="516" t="s">
        <v>32</v>
      </c>
      <c r="I1232" s="164"/>
      <c r="J1232" s="20"/>
      <c r="K1232" s="55"/>
      <c r="L1232" s="184"/>
      <c r="M1232" s="184"/>
      <c r="N1232" s="184"/>
      <c r="O1232" s="486"/>
      <c r="P1232" s="486"/>
      <c r="Q1232" s="164"/>
      <c r="R1232" s="164"/>
    </row>
    <row r="1233" spans="1:18" s="149" customFormat="1" ht="15">
      <c r="A1233" s="135"/>
      <c r="B1233" s="215" t="s">
        <v>1214</v>
      </c>
      <c r="C1233" s="186"/>
      <c r="D1233" s="186"/>
      <c r="E1233" s="186"/>
      <c r="F1233" s="186"/>
      <c r="G1233" s="559"/>
      <c r="H1233" s="516"/>
      <c r="I1233" s="164"/>
      <c r="K1233" s="55"/>
      <c r="L1233" s="184"/>
      <c r="M1233" s="184"/>
      <c r="N1233" s="184"/>
      <c r="O1233" s="164"/>
      <c r="P1233" s="164"/>
      <c r="Q1233" s="164"/>
      <c r="R1233" s="164"/>
    </row>
    <row r="1234" spans="1:18" s="222" customFormat="1">
      <c r="A1234" s="552"/>
      <c r="B1234" s="149" t="s">
        <v>1224</v>
      </c>
      <c r="C1234" s="55">
        <v>40</v>
      </c>
      <c r="D1234" s="184">
        <v>1.2</v>
      </c>
      <c r="E1234" s="165"/>
      <c r="F1234" s="173">
        <f>4.5*0.3</f>
        <v>1.3499999999999999</v>
      </c>
      <c r="G1234" s="432">
        <f>F1234*D1234*C1234</f>
        <v>64.8</v>
      </c>
      <c r="I1234" s="647"/>
      <c r="J1234" s="149"/>
      <c r="K1234" s="55"/>
      <c r="L1234" s="184"/>
      <c r="M1234" s="184"/>
      <c r="N1234" s="184"/>
      <c r="O1234" s="164"/>
      <c r="P1234" s="164"/>
      <c r="Q1234" s="647"/>
      <c r="R1234" s="647"/>
    </row>
    <row r="1235" spans="1:18" s="222" customFormat="1">
      <c r="A1235" s="552"/>
      <c r="B1235" s="224" t="s">
        <v>1361</v>
      </c>
      <c r="C1235" s="55">
        <v>3</v>
      </c>
      <c r="D1235" s="184">
        <v>1.8</v>
      </c>
      <c r="E1235" s="165"/>
      <c r="F1235" s="173">
        <f>4.5*0.3</f>
        <v>1.3499999999999999</v>
      </c>
      <c r="G1235" s="500">
        <f>F1235*D1235*C1235</f>
        <v>7.2899999999999991</v>
      </c>
      <c r="I1235" s="647"/>
      <c r="J1235" s="149"/>
      <c r="K1235" s="55"/>
      <c r="L1235" s="184"/>
      <c r="M1235" s="184"/>
      <c r="N1235" s="184"/>
      <c r="O1235" s="164"/>
      <c r="P1235" s="164"/>
      <c r="Q1235" s="647"/>
      <c r="R1235" s="647"/>
    </row>
    <row r="1236" spans="1:18" s="222" customFormat="1">
      <c r="A1236" s="552"/>
      <c r="B1236" s="224"/>
      <c r="C1236" s="55"/>
      <c r="D1236" s="184"/>
      <c r="E1236" s="165"/>
      <c r="F1236" s="173"/>
      <c r="G1236" s="432">
        <f>SUM(G1234:G1235)</f>
        <v>72.09</v>
      </c>
      <c r="I1236" s="647"/>
      <c r="J1236" s="149"/>
      <c r="K1236" s="55"/>
      <c r="L1236" s="184"/>
      <c r="M1236" s="184"/>
      <c r="N1236" s="184"/>
      <c r="O1236" s="164"/>
      <c r="P1236" s="164"/>
      <c r="Q1236" s="647"/>
      <c r="R1236" s="647"/>
    </row>
    <row r="1237" spans="1:18" s="222" customFormat="1">
      <c r="A1237" s="552"/>
      <c r="B1237" s="224"/>
      <c r="C1237" s="55"/>
      <c r="D1237" s="184"/>
      <c r="E1237" s="165"/>
      <c r="F1237" s="173"/>
      <c r="G1237" s="656">
        <f>G1236*10%</f>
        <v>7.2090000000000005</v>
      </c>
      <c r="I1237" s="647"/>
      <c r="J1237" s="149"/>
      <c r="K1237" s="55"/>
      <c r="L1237" s="184"/>
      <c r="M1237" s="184"/>
      <c r="N1237" s="184"/>
      <c r="O1237" s="164"/>
      <c r="P1237" s="164"/>
      <c r="Q1237" s="647"/>
      <c r="R1237" s="647"/>
    </row>
    <row r="1238" spans="1:18" s="222" customFormat="1">
      <c r="A1238" s="552"/>
      <c r="B1238" s="224"/>
      <c r="C1238" s="55"/>
      <c r="D1238" s="184"/>
      <c r="E1238" s="165"/>
      <c r="F1238" s="173"/>
      <c r="G1238" s="551">
        <f>G1237+G1236</f>
        <v>79.299000000000007</v>
      </c>
      <c r="H1238" s="516" t="s">
        <v>32</v>
      </c>
      <c r="I1238" s="647"/>
      <c r="J1238" s="149"/>
      <c r="K1238" s="55"/>
      <c r="L1238" s="184"/>
      <c r="M1238" s="184"/>
      <c r="N1238" s="184"/>
      <c r="O1238" s="164"/>
      <c r="P1238" s="164"/>
      <c r="Q1238" s="647"/>
      <c r="R1238" s="647"/>
    </row>
    <row r="1239" spans="1:18" s="222" customFormat="1">
      <c r="A1239" s="552"/>
      <c r="B1239" s="224"/>
      <c r="C1239" s="55"/>
      <c r="D1239" s="184"/>
      <c r="E1239" s="165"/>
      <c r="F1239" s="173"/>
      <c r="G1239" s="648"/>
      <c r="I1239" s="647"/>
      <c r="J1239" s="224"/>
      <c r="K1239" s="55"/>
      <c r="L1239" s="184"/>
      <c r="M1239" s="184"/>
      <c r="N1239" s="184"/>
      <c r="O1239" s="164"/>
      <c r="P1239" s="164"/>
      <c r="Q1239" s="647"/>
      <c r="R1239" s="647"/>
    </row>
    <row r="1240" spans="1:18" s="222" customFormat="1">
      <c r="A1240" s="552"/>
      <c r="B1240" s="483"/>
      <c r="D1240" s="641"/>
      <c r="F1240" s="641"/>
      <c r="G1240" s="132"/>
      <c r="H1240" s="516"/>
      <c r="I1240" s="647"/>
      <c r="J1240" s="20"/>
      <c r="K1240" s="55"/>
      <c r="L1240" s="184"/>
      <c r="M1240" s="184"/>
      <c r="N1240" s="184"/>
      <c r="O1240" s="164"/>
      <c r="P1240" s="164"/>
      <c r="Q1240" s="647"/>
      <c r="R1240" s="647"/>
    </row>
    <row r="1241" spans="1:18" s="149" customFormat="1" ht="15">
      <c r="A1241" s="135">
        <v>21</v>
      </c>
      <c r="B1241" s="215" t="s">
        <v>1236</v>
      </c>
      <c r="E1241" s="121"/>
      <c r="G1241" s="498"/>
      <c r="H1241" s="430"/>
      <c r="I1241" s="164"/>
      <c r="J1241" s="164"/>
      <c r="K1241" s="165"/>
      <c r="L1241" s="165"/>
      <c r="M1241" s="165"/>
      <c r="N1241" s="164"/>
      <c r="O1241" s="164"/>
      <c r="P1241" s="164"/>
      <c r="Q1241" s="164"/>
      <c r="R1241" s="164"/>
    </row>
    <row r="1242" spans="1:18" s="149" customFormat="1" ht="15">
      <c r="A1242" s="135"/>
      <c r="B1242" s="149" t="s">
        <v>648</v>
      </c>
      <c r="C1242" s="121"/>
      <c r="D1242" s="173"/>
      <c r="E1242" s="165"/>
      <c r="F1242" s="173"/>
      <c r="G1242" s="558"/>
      <c r="H1242" s="430"/>
      <c r="I1242" s="164"/>
      <c r="J1242" s="164"/>
      <c r="K1242" s="165"/>
      <c r="L1242" s="165"/>
      <c r="M1242" s="165"/>
      <c r="N1242" s="164"/>
      <c r="O1242" s="164"/>
      <c r="P1242" s="164"/>
      <c r="Q1242" s="164"/>
      <c r="R1242" s="164"/>
    </row>
    <row r="1243" spans="1:18" s="149" customFormat="1" ht="15">
      <c r="A1243" s="135"/>
      <c r="B1243" s="20" t="s">
        <v>1051</v>
      </c>
      <c r="C1243" s="121">
        <v>33</v>
      </c>
      <c r="D1243" s="173">
        <v>0.6</v>
      </c>
      <c r="E1243" s="165"/>
      <c r="F1243" s="173">
        <v>0.6</v>
      </c>
      <c r="G1243" s="558">
        <f>F1243*D1243*C1243</f>
        <v>11.879999999999999</v>
      </c>
      <c r="H1243" s="430"/>
      <c r="I1243" s="164"/>
      <c r="J1243" s="415"/>
      <c r="L1243" s="55"/>
      <c r="M1243" s="184"/>
      <c r="N1243" s="184"/>
      <c r="O1243" s="184"/>
      <c r="P1243" s="164"/>
      <c r="Q1243" s="164"/>
      <c r="R1243" s="164"/>
    </row>
    <row r="1244" spans="1:18" s="149" customFormat="1" ht="15">
      <c r="A1244" s="135"/>
      <c r="B1244" s="20" t="s">
        <v>1214</v>
      </c>
      <c r="C1244" s="121">
        <v>33</v>
      </c>
      <c r="D1244" s="173">
        <v>0.6</v>
      </c>
      <c r="E1244" s="165"/>
      <c r="F1244" s="173">
        <v>0.6</v>
      </c>
      <c r="G1244" s="558">
        <f>F1244*D1244*C1244</f>
        <v>11.879999999999999</v>
      </c>
      <c r="H1244" s="430"/>
      <c r="I1244" s="164"/>
      <c r="J1244" s="433"/>
      <c r="L1244" s="55"/>
      <c r="M1244" s="184"/>
      <c r="N1244" s="184"/>
      <c r="O1244" s="184"/>
      <c r="P1244" s="100"/>
      <c r="Q1244" s="164"/>
      <c r="R1244" s="164"/>
    </row>
    <row r="1245" spans="1:18" s="149" customFormat="1">
      <c r="A1245" s="135"/>
      <c r="C1245" s="186"/>
      <c r="D1245" s="186"/>
      <c r="E1245" s="121"/>
      <c r="F1245" s="186"/>
      <c r="G1245" s="537">
        <f>SUM(G1243:G1244)</f>
        <v>23.759999999999998</v>
      </c>
      <c r="H1245" s="516" t="s">
        <v>32</v>
      </c>
      <c r="I1245" s="164"/>
      <c r="J1245" s="433"/>
      <c r="L1245" s="55"/>
      <c r="M1245" s="184"/>
      <c r="N1245" s="184"/>
      <c r="O1245" s="184"/>
      <c r="P1245" s="100"/>
      <c r="Q1245" s="164"/>
      <c r="R1245" s="164"/>
    </row>
    <row r="1246" spans="1:18" s="149" customFormat="1">
      <c r="A1246" s="135"/>
      <c r="C1246" s="186"/>
      <c r="D1246" s="186"/>
      <c r="E1246" s="121"/>
      <c r="F1246" s="186"/>
      <c r="G1246" s="546"/>
      <c r="H1246" s="516"/>
      <c r="I1246" s="164"/>
      <c r="J1246" s="433"/>
      <c r="L1246" s="55"/>
      <c r="M1246" s="184"/>
      <c r="N1246" s="184"/>
      <c r="O1246" s="184"/>
      <c r="P1246" s="100"/>
      <c r="Q1246" s="164"/>
      <c r="R1246" s="164"/>
    </row>
    <row r="1247" spans="1:18" s="149" customFormat="1">
      <c r="A1247" s="135"/>
      <c r="C1247" s="186"/>
      <c r="D1247" s="53" t="s">
        <v>492</v>
      </c>
      <c r="E1247" s="4" t="s">
        <v>1237</v>
      </c>
      <c r="F1247" s="186"/>
      <c r="G1247" s="546">
        <f>G1245*5.1</f>
        <v>121.17599999999999</v>
      </c>
      <c r="H1247" s="516"/>
      <c r="I1247" s="164"/>
      <c r="J1247" s="433"/>
      <c r="L1247" s="55"/>
      <c r="M1247" s="184"/>
      <c r="N1247" s="184"/>
      <c r="O1247" s="184"/>
      <c r="P1247" s="100"/>
      <c r="Q1247" s="164"/>
      <c r="R1247" s="164"/>
    </row>
    <row r="1248" spans="1:18" s="149" customFormat="1">
      <c r="A1248" s="135"/>
      <c r="C1248" s="186"/>
      <c r="D1248" s="186"/>
      <c r="E1248" s="121"/>
      <c r="F1248" s="186"/>
      <c r="G1248" s="656">
        <f>G1247*10%</f>
        <v>12.117599999999999</v>
      </c>
      <c r="H1248" s="516"/>
      <c r="I1248" s="164"/>
      <c r="J1248" s="433"/>
      <c r="L1248" s="55"/>
      <c r="M1248" s="184"/>
      <c r="N1248" s="184"/>
      <c r="O1248" s="184"/>
      <c r="P1248" s="100"/>
      <c r="Q1248" s="164"/>
      <c r="R1248" s="164"/>
    </row>
    <row r="1249" spans="1:18" s="149" customFormat="1">
      <c r="A1249" s="135"/>
      <c r="C1249" s="186"/>
      <c r="D1249" s="53"/>
      <c r="E1249" s="4"/>
      <c r="F1249" s="186"/>
      <c r="G1249" s="551">
        <f>G1248+G1247</f>
        <v>133.2936</v>
      </c>
      <c r="H1249" s="516" t="s">
        <v>447</v>
      </c>
      <c r="I1249" s="164"/>
      <c r="J1249" s="433"/>
      <c r="L1249" s="55"/>
      <c r="M1249" s="184"/>
      <c r="N1249" s="184"/>
      <c r="O1249" s="184"/>
      <c r="P1249" s="100"/>
      <c r="Q1249" s="164"/>
      <c r="R1249" s="164"/>
    </row>
    <row r="1250" spans="1:18" s="149" customFormat="1" ht="15">
      <c r="A1250" s="135"/>
      <c r="C1250" s="186"/>
      <c r="D1250" s="186"/>
      <c r="E1250" s="121"/>
      <c r="F1250" s="186"/>
      <c r="G1250" s="526"/>
      <c r="H1250" s="527"/>
      <c r="I1250" s="164"/>
      <c r="J1250" s="433"/>
      <c r="K1250" s="224"/>
      <c r="L1250" s="55"/>
      <c r="M1250" s="184"/>
      <c r="N1250" s="184"/>
      <c r="O1250" s="184"/>
      <c r="P1250" s="100"/>
      <c r="Q1250" s="164"/>
      <c r="R1250" s="164"/>
    </row>
    <row r="1251" spans="1:18" s="149" customFormat="1">
      <c r="A1251" s="135"/>
      <c r="C1251" s="186"/>
      <c r="D1251" s="186"/>
      <c r="E1251" s="121"/>
      <c r="F1251" s="186"/>
      <c r="G1251" s="554"/>
      <c r="H1251" s="527"/>
      <c r="I1251" s="164"/>
      <c r="J1251" s="433"/>
      <c r="K1251" s="20"/>
      <c r="L1251" s="55"/>
      <c r="M1251" s="184"/>
      <c r="N1251" s="184"/>
      <c r="O1251" s="184"/>
      <c r="P1251" s="100"/>
      <c r="Q1251" s="164"/>
      <c r="R1251" s="164"/>
    </row>
    <row r="1252" spans="1:18" s="149" customFormat="1">
      <c r="A1252" s="135"/>
      <c r="C1252" s="186"/>
      <c r="D1252" s="186"/>
      <c r="E1252" s="121"/>
      <c r="F1252" s="186"/>
      <c r="G1252" s="559"/>
      <c r="H1252" s="516"/>
      <c r="I1252" s="164"/>
      <c r="J1252" s="433"/>
      <c r="K1252" s="100"/>
      <c r="L1252" s="102"/>
      <c r="M1252" s="102"/>
      <c r="N1252" s="102"/>
      <c r="O1252" s="102"/>
      <c r="P1252" s="100"/>
      <c r="Q1252" s="164"/>
      <c r="R1252" s="164"/>
    </row>
    <row r="1253" spans="1:18" s="149" customFormat="1" ht="15">
      <c r="A1253" s="135">
        <v>22</v>
      </c>
      <c r="B1253" s="586" t="s">
        <v>1213</v>
      </c>
      <c r="C1253" s="186"/>
      <c r="D1253" s="186"/>
      <c r="E1253" s="186"/>
      <c r="F1253" s="186"/>
      <c r="G1253" s="498"/>
      <c r="H1253" s="430"/>
      <c r="I1253" s="164"/>
      <c r="J1253" s="433"/>
      <c r="K1253" s="100"/>
      <c r="L1253" s="102"/>
      <c r="M1253" s="102"/>
      <c r="N1253" s="102"/>
      <c r="O1253" s="102"/>
      <c r="P1253" s="100"/>
      <c r="Q1253" s="164"/>
      <c r="R1253" s="164"/>
    </row>
    <row r="1254" spans="1:18" s="149" customFormat="1">
      <c r="A1254" s="135"/>
      <c r="B1254" s="36" t="s">
        <v>1051</v>
      </c>
      <c r="C1254" s="121"/>
      <c r="D1254" s="120"/>
      <c r="E1254" s="165"/>
      <c r="F1254" s="173"/>
      <c r="G1254" s="432"/>
      <c r="I1254" s="164"/>
      <c r="J1254" s="121"/>
      <c r="K1254" s="173"/>
      <c r="L1254" s="165"/>
      <c r="M1254" s="173"/>
      <c r="N1254" s="164"/>
      <c r="O1254" s="164"/>
      <c r="P1254" s="164"/>
      <c r="Q1254" s="164"/>
      <c r="R1254" s="164"/>
    </row>
    <row r="1255" spans="1:18" s="149" customFormat="1">
      <c r="A1255" s="135"/>
      <c r="B1255" s="149" t="s">
        <v>1357</v>
      </c>
      <c r="C1255" s="55">
        <v>16</v>
      </c>
      <c r="D1255" s="184">
        <v>1.05</v>
      </c>
      <c r="E1255" s="184"/>
      <c r="F1255" s="184">
        <v>2.1</v>
      </c>
      <c r="G1255" s="432">
        <f>F1255*D1255*C1255</f>
        <v>35.28</v>
      </c>
      <c r="I1255" s="164"/>
      <c r="J1255" s="121"/>
      <c r="K1255" s="173"/>
      <c r="L1255" s="165"/>
      <c r="M1255" s="173"/>
      <c r="N1255" s="164"/>
      <c r="O1255" s="164"/>
      <c r="P1255" s="164"/>
      <c r="Q1255" s="164"/>
      <c r="R1255" s="164"/>
    </row>
    <row r="1256" spans="1:18" s="149" customFormat="1">
      <c r="A1256" s="135"/>
      <c r="B1256" s="149" t="s">
        <v>1358</v>
      </c>
      <c r="C1256" s="55">
        <v>7</v>
      </c>
      <c r="D1256" s="184">
        <v>0.9</v>
      </c>
      <c r="E1256" s="184"/>
      <c r="F1256" s="184">
        <v>2.1</v>
      </c>
      <c r="G1256" s="432">
        <f>F1256*D1256*C1256</f>
        <v>13.23</v>
      </c>
      <c r="I1256" s="164"/>
      <c r="J1256" s="121"/>
      <c r="K1256" s="173"/>
      <c r="L1256" s="165"/>
      <c r="M1256" s="173"/>
      <c r="N1256" s="164"/>
      <c r="O1256" s="164"/>
      <c r="P1256" s="164"/>
      <c r="Q1256" s="164"/>
      <c r="R1256" s="164"/>
    </row>
    <row r="1257" spans="1:18" s="149" customFormat="1">
      <c r="A1257" s="135"/>
      <c r="B1257" s="149" t="s">
        <v>1360</v>
      </c>
      <c r="C1257" s="55">
        <v>3</v>
      </c>
      <c r="D1257" s="184">
        <v>1.5</v>
      </c>
      <c r="E1257" s="184"/>
      <c r="F1257" s="184">
        <v>2.1</v>
      </c>
      <c r="G1257" s="500">
        <f>F1257*D1257*C1257</f>
        <v>9.4500000000000011</v>
      </c>
      <c r="I1257" s="164"/>
      <c r="J1257" s="121"/>
      <c r="K1257" s="173"/>
      <c r="L1257" s="165"/>
      <c r="M1257" s="173"/>
      <c r="N1257" s="164"/>
      <c r="O1257" s="164"/>
      <c r="P1257" s="164"/>
      <c r="Q1257" s="164"/>
      <c r="R1257" s="164"/>
    </row>
    <row r="1258" spans="1:18" s="149" customFormat="1">
      <c r="A1258" s="135"/>
      <c r="G1258" s="50">
        <f>SUM(G1255:G1257)</f>
        <v>57.960000000000008</v>
      </c>
      <c r="H1258" s="516"/>
      <c r="I1258" s="164"/>
      <c r="J1258" s="164"/>
      <c r="K1258" s="165"/>
      <c r="L1258" s="165"/>
      <c r="M1258" s="165"/>
      <c r="N1258" s="164"/>
      <c r="O1258" s="164"/>
      <c r="P1258" s="164"/>
      <c r="Q1258" s="164"/>
      <c r="R1258" s="164"/>
    </row>
    <row r="1259" spans="1:18" s="164" customFormat="1" ht="15">
      <c r="A1259" s="249"/>
      <c r="B1259" s="36" t="s">
        <v>1214</v>
      </c>
      <c r="G1259" s="651"/>
      <c r="H1259" s="213"/>
      <c r="K1259" s="165"/>
      <c r="L1259" s="165"/>
      <c r="M1259" s="165"/>
    </row>
    <row r="1260" spans="1:18" s="164" customFormat="1" ht="15">
      <c r="A1260" s="249"/>
      <c r="B1260" s="149" t="s">
        <v>1357</v>
      </c>
      <c r="C1260" s="55">
        <v>17</v>
      </c>
      <c r="D1260" s="184">
        <v>1.05</v>
      </c>
      <c r="E1260" s="184"/>
      <c r="F1260" s="184">
        <v>2.1</v>
      </c>
      <c r="G1260" s="643">
        <f>F1260*D1260*C1260</f>
        <v>37.484999999999999</v>
      </c>
      <c r="H1260" s="213"/>
      <c r="K1260" s="165"/>
      <c r="L1260" s="165"/>
      <c r="M1260" s="165"/>
    </row>
    <row r="1261" spans="1:18" s="164" customFormat="1" ht="15">
      <c r="A1261" s="249"/>
      <c r="B1261" s="149" t="s">
        <v>1358</v>
      </c>
      <c r="C1261" s="55">
        <v>4</v>
      </c>
      <c r="D1261" s="184">
        <v>0.9</v>
      </c>
      <c r="E1261" s="184"/>
      <c r="F1261" s="184">
        <v>2.1</v>
      </c>
      <c r="G1261" s="644">
        <f>F1261*D1261*C1261</f>
        <v>7.5600000000000005</v>
      </c>
      <c r="H1261" s="213"/>
      <c r="K1261" s="165"/>
      <c r="L1261" s="165"/>
      <c r="M1261" s="165"/>
    </row>
    <row r="1262" spans="1:18" s="149" customFormat="1">
      <c r="A1262" s="135"/>
      <c r="B1262" s="164"/>
      <c r="C1262" s="165"/>
      <c r="D1262" s="173"/>
      <c r="E1262" s="165"/>
      <c r="F1262" s="173"/>
      <c r="G1262" s="578">
        <f>SUM(G1260:G1261)</f>
        <v>45.045000000000002</v>
      </c>
      <c r="H1262" s="516"/>
      <c r="I1262" s="164"/>
      <c r="J1262" s="164"/>
      <c r="K1262" s="165"/>
      <c r="L1262" s="165"/>
      <c r="M1262" s="165"/>
      <c r="N1262" s="164"/>
      <c r="O1262" s="164"/>
      <c r="P1262" s="164"/>
      <c r="Q1262" s="164"/>
      <c r="R1262" s="164"/>
    </row>
    <row r="1263" spans="1:18" s="149" customFormat="1" ht="15">
      <c r="A1263" s="135"/>
      <c r="B1263" s="164"/>
      <c r="C1263" s="165"/>
      <c r="D1263" s="173"/>
      <c r="E1263" s="165"/>
      <c r="F1263" s="173"/>
      <c r="G1263" s="548"/>
      <c r="H1263" s="213"/>
      <c r="I1263" s="164"/>
      <c r="J1263" s="164"/>
      <c r="K1263" s="165"/>
      <c r="L1263" s="165"/>
      <c r="M1263" s="165"/>
      <c r="N1263" s="164"/>
      <c r="O1263" s="164"/>
      <c r="P1263" s="164"/>
      <c r="Q1263" s="164"/>
      <c r="R1263" s="164"/>
    </row>
    <row r="1264" spans="1:18" s="149" customFormat="1" ht="15">
      <c r="A1264" s="135"/>
      <c r="B1264" s="164"/>
      <c r="C1264" s="165"/>
      <c r="D1264" s="173"/>
      <c r="E1264" s="165"/>
      <c r="F1264" s="173"/>
      <c r="G1264" s="548">
        <f>G1258+G1262</f>
        <v>103.00500000000001</v>
      </c>
      <c r="H1264" s="213"/>
      <c r="I1264" s="164"/>
      <c r="J1264" s="164"/>
      <c r="K1264" s="165"/>
      <c r="L1264" s="165"/>
      <c r="M1264" s="165"/>
      <c r="N1264" s="164"/>
      <c r="O1264" s="164"/>
      <c r="P1264" s="164"/>
      <c r="Q1264" s="164"/>
      <c r="R1264" s="164"/>
    </row>
    <row r="1265" spans="1:18" s="149" customFormat="1" ht="15">
      <c r="A1265" s="135"/>
      <c r="B1265" s="164"/>
      <c r="C1265" s="165"/>
      <c r="D1265" s="173"/>
      <c r="E1265" s="165"/>
      <c r="F1265" s="173"/>
      <c r="G1265" s="656">
        <f>G1264*10%</f>
        <v>10.300500000000001</v>
      </c>
      <c r="H1265" s="213"/>
      <c r="I1265" s="164"/>
      <c r="J1265" s="164"/>
      <c r="K1265" s="165"/>
      <c r="L1265" s="165"/>
      <c r="M1265" s="165"/>
      <c r="N1265" s="164"/>
      <c r="O1265" s="164"/>
      <c r="P1265" s="164"/>
      <c r="Q1265" s="164"/>
      <c r="R1265" s="164"/>
    </row>
    <row r="1266" spans="1:18" s="149" customFormat="1">
      <c r="A1266" s="135"/>
      <c r="B1266" s="164"/>
      <c r="C1266" s="164"/>
      <c r="D1266" s="164"/>
      <c r="E1266" s="164"/>
      <c r="F1266" s="100" t="s">
        <v>117</v>
      </c>
      <c r="G1266" s="551">
        <f>G1265+G1264</f>
        <v>113.30550000000001</v>
      </c>
      <c r="H1266" s="516" t="s">
        <v>32</v>
      </c>
      <c r="I1266" s="164"/>
      <c r="J1266" s="164"/>
      <c r="K1266" s="165"/>
      <c r="L1266" s="165"/>
      <c r="M1266" s="165"/>
      <c r="N1266" s="164"/>
      <c r="O1266" s="164"/>
      <c r="P1266" s="164"/>
      <c r="Q1266" s="164"/>
      <c r="R1266" s="164"/>
    </row>
    <row r="1267" spans="1:18" s="149" customFormat="1">
      <c r="A1267" s="135"/>
      <c r="E1267" s="121"/>
      <c r="G1267" s="498"/>
      <c r="H1267" s="430"/>
      <c r="I1267" s="164"/>
      <c r="J1267" s="164"/>
      <c r="K1267" s="165"/>
      <c r="L1267" s="165"/>
      <c r="M1267" s="165"/>
      <c r="N1267" s="164"/>
      <c r="O1267" s="164"/>
      <c r="P1267" s="164"/>
      <c r="Q1267" s="164"/>
      <c r="R1267" s="164"/>
    </row>
    <row r="1268" spans="1:18" s="149" customFormat="1" ht="15">
      <c r="A1268" s="135">
        <v>23</v>
      </c>
      <c r="B1268" s="215" t="s">
        <v>1375</v>
      </c>
      <c r="C1268" s="121"/>
      <c r="D1268" s="121"/>
      <c r="E1268" s="121"/>
      <c r="F1268" s="120"/>
      <c r="G1268" s="406"/>
      <c r="H1268" s="430"/>
      <c r="I1268" s="164"/>
      <c r="J1268" s="164"/>
      <c r="K1268" s="165"/>
      <c r="L1268" s="165"/>
      <c r="M1268" s="165"/>
      <c r="N1268" s="164"/>
      <c r="O1268" s="164"/>
      <c r="P1268" s="164"/>
      <c r="Q1268" s="164"/>
      <c r="R1268" s="164"/>
    </row>
    <row r="1269" spans="1:18" s="149" customFormat="1">
      <c r="A1269" s="135"/>
      <c r="B1269" s="149" t="s">
        <v>1357</v>
      </c>
      <c r="C1269" s="165">
        <f>C1255+C1260</f>
        <v>33</v>
      </c>
      <c r="D1269" s="121">
        <f>D1255+(2*2.1)</f>
        <v>5.25</v>
      </c>
      <c r="E1269" s="121">
        <v>0.125</v>
      </c>
      <c r="F1269" s="120">
        <f>0.2*0.3</f>
        <v>0.06</v>
      </c>
      <c r="G1269" s="540">
        <f>F1269*E1269*D1269*C1269</f>
        <v>1.2993749999999999</v>
      </c>
      <c r="H1269" s="430"/>
      <c r="I1269" s="164"/>
      <c r="J1269" s="164"/>
      <c r="K1269" s="165"/>
      <c r="L1269" s="165"/>
      <c r="M1269" s="165"/>
      <c r="N1269" s="164"/>
      <c r="O1269" s="164"/>
      <c r="P1269" s="164"/>
      <c r="Q1269" s="164"/>
      <c r="R1269" s="164"/>
    </row>
    <row r="1270" spans="1:18" s="149" customFormat="1">
      <c r="A1270" s="135"/>
      <c r="B1270" s="149" t="s">
        <v>1358</v>
      </c>
      <c r="C1270" s="165">
        <f>C1256+C1261</f>
        <v>11</v>
      </c>
      <c r="D1270" s="121">
        <f>D1256+(2*2.1)</f>
        <v>5.1000000000000005</v>
      </c>
      <c r="E1270" s="121">
        <v>0.125</v>
      </c>
      <c r="F1270" s="120">
        <f>0.2*0.3</f>
        <v>0.06</v>
      </c>
      <c r="G1270" s="540">
        <f>F1270*E1270*D1270*C1270</f>
        <v>0.42075000000000001</v>
      </c>
      <c r="H1270" s="430"/>
      <c r="I1270" s="164"/>
      <c r="J1270" s="164"/>
      <c r="K1270" s="165"/>
      <c r="L1270" s="165"/>
      <c r="M1270" s="165"/>
      <c r="N1270" s="164"/>
      <c r="O1270" s="164"/>
      <c r="P1270" s="164"/>
      <c r="Q1270" s="164"/>
      <c r="R1270" s="164"/>
    </row>
    <row r="1271" spans="1:18" s="149" customFormat="1">
      <c r="A1271" s="135"/>
      <c r="B1271" s="149" t="s">
        <v>1360</v>
      </c>
      <c r="C1271" s="165">
        <f>C1257</f>
        <v>3</v>
      </c>
      <c r="D1271" s="121">
        <f>D1257+(2*2.1)</f>
        <v>5.7</v>
      </c>
      <c r="E1271" s="121">
        <v>0.125</v>
      </c>
      <c r="F1271" s="120">
        <f>0.2*0.3</f>
        <v>0.06</v>
      </c>
      <c r="G1271" s="508">
        <f>F1271*E1271*D1271*C1271</f>
        <v>0.12824999999999998</v>
      </c>
      <c r="H1271" s="430"/>
      <c r="I1271" s="164"/>
      <c r="J1271" s="164"/>
      <c r="K1271" s="165"/>
      <c r="L1271" s="165"/>
      <c r="M1271" s="165"/>
      <c r="N1271" s="164"/>
      <c r="O1271" s="164"/>
      <c r="P1271" s="164"/>
      <c r="Q1271" s="164"/>
      <c r="R1271" s="164"/>
    </row>
    <row r="1272" spans="1:18" s="149" customFormat="1">
      <c r="A1272" s="135"/>
      <c r="C1272" s="165"/>
      <c r="D1272" s="121"/>
      <c r="E1272" s="121"/>
      <c r="F1272" s="120"/>
      <c r="G1272" s="540">
        <f>SUM(G1269:G1271)</f>
        <v>1.8483749999999999</v>
      </c>
      <c r="H1272" s="430"/>
      <c r="I1272" s="164"/>
      <c r="J1272" s="164"/>
      <c r="K1272" s="165"/>
      <c r="L1272" s="165"/>
      <c r="M1272" s="165"/>
      <c r="N1272" s="164"/>
      <c r="O1272" s="164"/>
      <c r="P1272" s="164"/>
      <c r="Q1272" s="164"/>
      <c r="R1272" s="164"/>
    </row>
    <row r="1273" spans="1:18" s="149" customFormat="1">
      <c r="A1273" s="135"/>
      <c r="C1273" s="165"/>
      <c r="D1273" s="121"/>
      <c r="E1273" s="121"/>
      <c r="F1273" s="120"/>
      <c r="G1273" s="656">
        <f>G1272*10%</f>
        <v>0.18483749999999999</v>
      </c>
      <c r="H1273" s="430"/>
      <c r="I1273" s="164"/>
      <c r="J1273" s="164"/>
      <c r="K1273" s="165"/>
      <c r="L1273" s="165"/>
      <c r="M1273" s="165"/>
      <c r="N1273" s="164"/>
      <c r="O1273" s="164"/>
      <c r="P1273" s="164"/>
      <c r="Q1273" s="164"/>
      <c r="R1273" s="164"/>
    </row>
    <row r="1274" spans="1:18" s="149" customFormat="1">
      <c r="A1274" s="135"/>
      <c r="C1274" s="165"/>
      <c r="D1274" s="121"/>
      <c r="E1274" s="121"/>
      <c r="F1274" s="120"/>
      <c r="G1274" s="551">
        <f>G1273+G1272</f>
        <v>2.0332124999999999</v>
      </c>
      <c r="H1274" s="527" t="s">
        <v>25</v>
      </c>
      <c r="I1274" s="164"/>
      <c r="J1274" s="164"/>
      <c r="K1274" s="165"/>
      <c r="L1274" s="165"/>
      <c r="M1274" s="165"/>
      <c r="N1274" s="164"/>
      <c r="O1274" s="164"/>
      <c r="P1274" s="164"/>
      <c r="Q1274" s="164"/>
      <c r="R1274" s="164"/>
    </row>
    <row r="1275" spans="1:18" s="149" customFormat="1">
      <c r="A1275" s="135"/>
      <c r="C1275" s="121"/>
      <c r="D1275" s="121"/>
      <c r="E1275" s="121"/>
      <c r="F1275" s="120"/>
      <c r="G1275" s="551"/>
      <c r="H1275" s="516"/>
      <c r="I1275" s="164"/>
      <c r="J1275" s="164"/>
      <c r="K1275" s="165"/>
      <c r="L1275" s="165"/>
      <c r="M1275" s="165"/>
      <c r="N1275" s="164"/>
      <c r="O1275" s="164"/>
      <c r="P1275" s="164"/>
      <c r="Q1275" s="164"/>
      <c r="R1275" s="164"/>
    </row>
    <row r="1276" spans="1:18" s="149" customFormat="1">
      <c r="A1276" s="135">
        <v>24</v>
      </c>
      <c r="B1276" s="36" t="s">
        <v>1238</v>
      </c>
      <c r="E1276" s="121"/>
      <c r="G1276" s="498"/>
      <c r="H1276" s="430"/>
      <c r="I1276" s="164"/>
      <c r="J1276" s="164"/>
      <c r="K1276" s="165"/>
      <c r="L1276" s="165"/>
      <c r="M1276" s="165"/>
      <c r="N1276" s="164"/>
      <c r="O1276" s="164"/>
      <c r="P1276" s="164"/>
      <c r="Q1276" s="164"/>
      <c r="R1276" s="164"/>
    </row>
    <row r="1277" spans="1:18" s="149" customFormat="1">
      <c r="A1277" s="135"/>
      <c r="B1277" s="552" t="s">
        <v>1051</v>
      </c>
      <c r="C1277" s="121"/>
      <c r="D1277" s="121"/>
      <c r="E1277" s="121"/>
      <c r="F1277" s="121"/>
      <c r="I1277" s="164"/>
      <c r="J1277" s="164"/>
      <c r="K1277" s="165"/>
      <c r="L1277" s="165"/>
      <c r="M1277" s="165"/>
      <c r="N1277" s="164"/>
      <c r="O1277" s="164"/>
      <c r="P1277" s="164"/>
      <c r="Q1277" s="164"/>
      <c r="R1277" s="164"/>
    </row>
    <row r="1278" spans="1:18" s="149" customFormat="1">
      <c r="A1278" s="135"/>
      <c r="B1278" s="20" t="s">
        <v>1359</v>
      </c>
      <c r="C1278" s="121">
        <v>33</v>
      </c>
      <c r="D1278" s="120">
        <v>0.75</v>
      </c>
      <c r="E1278" s="121"/>
      <c r="F1278" s="120">
        <v>2.1</v>
      </c>
      <c r="G1278" s="402">
        <f>F1278*D1278*C1278</f>
        <v>51.975000000000009</v>
      </c>
      <c r="H1278" s="516"/>
      <c r="I1278" s="164"/>
      <c r="J1278" s="164"/>
      <c r="K1278" s="165"/>
      <c r="L1278" s="165"/>
      <c r="M1278" s="165"/>
      <c r="N1278" s="164"/>
      <c r="O1278" s="164"/>
      <c r="P1278" s="164"/>
      <c r="Q1278" s="164"/>
      <c r="R1278" s="164"/>
    </row>
    <row r="1279" spans="1:18" s="149" customFormat="1" ht="15">
      <c r="A1279" s="135"/>
      <c r="B1279" s="615"/>
      <c r="C1279" s="121"/>
      <c r="D1279" s="121"/>
      <c r="E1279" s="121"/>
      <c r="F1279" s="121"/>
      <c r="G1279" s="611"/>
      <c r="H1279" s="215"/>
      <c r="I1279" s="164"/>
      <c r="J1279" s="164"/>
      <c r="K1279" s="165"/>
      <c r="L1279" s="165"/>
      <c r="M1279" s="165"/>
      <c r="N1279" s="164"/>
      <c r="O1279" s="164"/>
      <c r="P1279" s="164"/>
      <c r="Q1279" s="164"/>
      <c r="R1279" s="164"/>
    </row>
    <row r="1280" spans="1:18" s="149" customFormat="1">
      <c r="A1280" s="135"/>
      <c r="B1280" s="552" t="s">
        <v>1214</v>
      </c>
      <c r="C1280" s="121"/>
      <c r="D1280" s="121"/>
      <c r="E1280" s="121"/>
      <c r="F1280" s="165"/>
      <c r="G1280" s="164"/>
      <c r="H1280" s="164"/>
      <c r="I1280" s="164"/>
      <c r="J1280" s="164"/>
      <c r="K1280" s="165"/>
      <c r="L1280" s="165"/>
      <c r="M1280" s="165"/>
      <c r="N1280" s="164"/>
      <c r="O1280" s="164"/>
      <c r="P1280" s="164"/>
      <c r="Q1280" s="164"/>
      <c r="R1280" s="164"/>
    </row>
    <row r="1281" spans="1:18" s="149" customFormat="1">
      <c r="A1281" s="135"/>
      <c r="B1281" s="20" t="s">
        <v>1359</v>
      </c>
      <c r="C1281" s="121">
        <v>33</v>
      </c>
      <c r="D1281" s="120">
        <v>0.75</v>
      </c>
      <c r="E1281" s="121"/>
      <c r="F1281" s="173">
        <v>2.1</v>
      </c>
      <c r="G1281" s="432">
        <f>F1281*D1281*C1281</f>
        <v>51.975000000000009</v>
      </c>
      <c r="H1281" s="527"/>
      <c r="I1281" s="164"/>
      <c r="J1281" s="164"/>
      <c r="K1281" s="165"/>
      <c r="L1281" s="165"/>
      <c r="M1281" s="165"/>
      <c r="N1281" s="164"/>
      <c r="O1281" s="164"/>
      <c r="P1281" s="164"/>
      <c r="Q1281" s="164"/>
      <c r="R1281" s="164"/>
    </row>
    <row r="1282" spans="1:18" s="149" customFormat="1" ht="15">
      <c r="A1282" s="135"/>
      <c r="B1282" s="615"/>
      <c r="C1282" s="121"/>
      <c r="D1282" s="121"/>
      <c r="E1282" s="121"/>
      <c r="F1282" s="165"/>
      <c r="G1282" s="650"/>
      <c r="H1282" s="213"/>
      <c r="I1282" s="164"/>
      <c r="J1282" s="164"/>
      <c r="K1282" s="165"/>
      <c r="L1282" s="165"/>
      <c r="M1282" s="165"/>
      <c r="N1282" s="164"/>
      <c r="O1282" s="164"/>
      <c r="P1282" s="164"/>
      <c r="Q1282" s="164"/>
      <c r="R1282" s="164"/>
    </row>
    <row r="1283" spans="1:18" s="149" customFormat="1" ht="15">
      <c r="A1283" s="135"/>
      <c r="B1283" s="615"/>
      <c r="C1283" s="121"/>
      <c r="D1283" s="121"/>
      <c r="E1283" s="121"/>
      <c r="F1283" s="165"/>
      <c r="G1283" s="650">
        <f>G1278+G1281</f>
        <v>103.95000000000002</v>
      </c>
      <c r="H1283" s="213"/>
      <c r="I1283" s="164"/>
      <c r="J1283" s="164"/>
      <c r="K1283" s="165"/>
      <c r="L1283" s="165"/>
      <c r="M1283" s="165"/>
      <c r="N1283" s="164"/>
      <c r="O1283" s="164"/>
      <c r="P1283" s="164"/>
      <c r="Q1283" s="164"/>
      <c r="R1283" s="164"/>
    </row>
    <row r="1284" spans="1:18" s="149" customFormat="1" ht="15">
      <c r="A1284" s="135"/>
      <c r="B1284" s="615"/>
      <c r="C1284" s="121"/>
      <c r="D1284" s="121"/>
      <c r="E1284" s="121"/>
      <c r="F1284" s="165"/>
      <c r="G1284" s="656">
        <f>G1283*10%</f>
        <v>10.395000000000003</v>
      </c>
      <c r="H1284" s="213"/>
      <c r="I1284" s="164"/>
      <c r="J1284" s="164"/>
      <c r="K1284" s="165"/>
      <c r="L1284" s="165"/>
      <c r="M1284" s="165"/>
      <c r="N1284" s="164"/>
      <c r="O1284" s="164"/>
      <c r="P1284" s="164"/>
      <c r="Q1284" s="164"/>
      <c r="R1284" s="164"/>
    </row>
    <row r="1285" spans="1:18" s="149" customFormat="1">
      <c r="A1285" s="135"/>
      <c r="E1285" s="121"/>
      <c r="F1285" s="135" t="s">
        <v>426</v>
      </c>
      <c r="G1285" s="551">
        <f>G1284+G1283</f>
        <v>114.34500000000003</v>
      </c>
      <c r="H1285" s="516" t="s">
        <v>350</v>
      </c>
      <c r="I1285" s="164"/>
      <c r="J1285" s="164"/>
      <c r="K1285" s="165"/>
      <c r="L1285" s="165"/>
      <c r="M1285" s="165"/>
      <c r="N1285" s="164"/>
      <c r="O1285" s="164"/>
      <c r="P1285" s="164"/>
      <c r="Q1285" s="164"/>
      <c r="R1285" s="164"/>
    </row>
    <row r="1286" spans="1:18" s="149" customFormat="1">
      <c r="A1286" s="135"/>
      <c r="E1286" s="121"/>
      <c r="G1286" s="498"/>
      <c r="H1286" s="430"/>
      <c r="I1286" s="164"/>
      <c r="J1286" s="164"/>
      <c r="K1286" s="165"/>
      <c r="L1286" s="165"/>
      <c r="M1286" s="165"/>
      <c r="N1286" s="164"/>
      <c r="O1286" s="164"/>
      <c r="P1286" s="164"/>
      <c r="Q1286" s="164"/>
      <c r="R1286" s="164"/>
    </row>
    <row r="1287" spans="1:18" s="149" customFormat="1">
      <c r="E1287" s="121"/>
      <c r="G1287" s="498"/>
      <c r="H1287" s="430"/>
      <c r="I1287" s="164"/>
      <c r="J1287" s="164"/>
      <c r="K1287" s="165"/>
      <c r="L1287" s="165"/>
      <c r="M1287" s="165"/>
      <c r="N1287" s="164"/>
      <c r="O1287" s="164"/>
      <c r="P1287" s="164"/>
      <c r="Q1287" s="164"/>
      <c r="R1287" s="164"/>
    </row>
    <row r="1288" spans="1:18" s="149" customFormat="1">
      <c r="A1288" s="135">
        <v>25</v>
      </c>
      <c r="B1288" s="36" t="s">
        <v>1239</v>
      </c>
      <c r="C1288" s="149">
        <f>C1278+C1281</f>
        <v>66</v>
      </c>
      <c r="D1288" s="20">
        <f>2*2.1+D1281</f>
        <v>4.95</v>
      </c>
      <c r="E1288" s="121"/>
      <c r="G1288" s="584">
        <f>D1288*C1288</f>
        <v>326.7</v>
      </c>
      <c r="H1288" s="430"/>
      <c r="I1288" s="164"/>
      <c r="J1288" s="164"/>
      <c r="K1288" s="165"/>
      <c r="L1288" s="165"/>
      <c r="M1288" s="165"/>
      <c r="N1288" s="164"/>
      <c r="O1288" s="164"/>
      <c r="P1288" s="164"/>
      <c r="Q1288" s="164"/>
      <c r="R1288" s="164"/>
    </row>
    <row r="1289" spans="1:18" s="149" customFormat="1">
      <c r="E1289" s="121"/>
      <c r="G1289" s="656">
        <f>G1288*10%</f>
        <v>32.67</v>
      </c>
      <c r="H1289" s="430"/>
      <c r="I1289" s="164"/>
      <c r="J1289" s="164"/>
      <c r="K1289" s="165"/>
      <c r="L1289" s="165"/>
      <c r="M1289" s="165"/>
      <c r="N1289" s="164"/>
      <c r="O1289" s="164"/>
      <c r="P1289" s="164"/>
      <c r="Q1289" s="164"/>
      <c r="R1289" s="164"/>
    </row>
    <row r="1290" spans="1:18" s="149" customFormat="1">
      <c r="A1290" s="135"/>
      <c r="B1290" s="36"/>
      <c r="C1290" s="121"/>
      <c r="D1290" s="4"/>
      <c r="E1290" s="121"/>
      <c r="G1290" s="551">
        <f>G1289+G1288</f>
        <v>359.37</v>
      </c>
      <c r="H1290" s="516" t="s">
        <v>1240</v>
      </c>
      <c r="I1290" s="164"/>
      <c r="J1290" s="164"/>
      <c r="K1290" s="165"/>
      <c r="L1290" s="165"/>
      <c r="M1290" s="165"/>
      <c r="N1290" s="164"/>
      <c r="O1290" s="164"/>
      <c r="P1290" s="164"/>
      <c r="Q1290" s="164"/>
      <c r="R1290" s="164"/>
    </row>
    <row r="1291" spans="1:18" s="149" customFormat="1">
      <c r="A1291" s="135"/>
      <c r="E1291" s="121"/>
      <c r="G1291" s="551"/>
      <c r="H1291" s="516"/>
      <c r="I1291" s="164"/>
      <c r="J1291" s="164"/>
      <c r="K1291" s="165"/>
      <c r="L1291" s="165"/>
      <c r="M1291" s="165"/>
      <c r="N1291" s="164"/>
      <c r="O1291" s="164"/>
      <c r="P1291" s="164"/>
      <c r="Q1291" s="164"/>
      <c r="R1291" s="164"/>
    </row>
    <row r="1292" spans="1:18" s="149" customFormat="1" ht="15">
      <c r="A1292" s="135">
        <v>26</v>
      </c>
      <c r="B1292" s="608" t="s">
        <v>1335</v>
      </c>
      <c r="E1292" s="121"/>
      <c r="G1292" s="498"/>
      <c r="H1292" s="430"/>
      <c r="I1292" s="164"/>
      <c r="J1292" s="164"/>
      <c r="K1292" s="609"/>
      <c r="L1292" s="113"/>
      <c r="M1292" s="113"/>
      <c r="N1292" s="113"/>
      <c r="O1292" s="164"/>
      <c r="P1292" s="176"/>
      <c r="Q1292" s="166"/>
      <c r="R1292" s="164"/>
    </row>
    <row r="1293" spans="1:18" s="164" customFormat="1" ht="15">
      <c r="A1293" s="249"/>
      <c r="B1293" s="215" t="s">
        <v>1051</v>
      </c>
      <c r="C1293" s="186"/>
      <c r="D1293" s="186"/>
      <c r="E1293" s="186"/>
      <c r="F1293" s="149"/>
      <c r="G1293" s="498"/>
      <c r="H1293" s="430"/>
      <c r="J1293" s="610"/>
      <c r="K1293" s="165"/>
      <c r="L1293" s="173"/>
      <c r="M1293" s="165"/>
      <c r="N1293" s="165"/>
      <c r="O1293" s="113"/>
      <c r="P1293" s="554"/>
      <c r="Q1293" s="166"/>
    </row>
    <row r="1294" spans="1:18" s="164" customFormat="1" ht="15">
      <c r="A1294" s="249"/>
      <c r="B1294" s="149" t="s">
        <v>1224</v>
      </c>
      <c r="C1294" s="55">
        <v>41</v>
      </c>
      <c r="D1294" s="184">
        <v>1.2</v>
      </c>
      <c r="E1294" s="100"/>
      <c r="F1294" s="173">
        <f>4.5*0.3</f>
        <v>1.3499999999999999</v>
      </c>
      <c r="G1294" s="432">
        <f>F1294*D1294*C1294</f>
        <v>66.42</v>
      </c>
      <c r="H1294" s="430"/>
      <c r="J1294" s="610"/>
      <c r="K1294" s="165"/>
      <c r="L1294" s="173"/>
      <c r="M1294" s="165"/>
      <c r="N1294" s="165"/>
      <c r="O1294" s="113"/>
      <c r="P1294" s="554"/>
      <c r="Q1294" s="166"/>
    </row>
    <row r="1295" spans="1:18" s="164" customFormat="1" ht="15">
      <c r="A1295" s="249"/>
      <c r="B1295" s="224" t="s">
        <v>1361</v>
      </c>
      <c r="C1295" s="55">
        <v>6</v>
      </c>
      <c r="D1295" s="184">
        <v>1.8</v>
      </c>
      <c r="E1295" s="100"/>
      <c r="F1295" s="173">
        <f>4.5*0.3</f>
        <v>1.3499999999999999</v>
      </c>
      <c r="G1295" s="432">
        <f>F1295*D1295*C1295</f>
        <v>14.579999999999998</v>
      </c>
      <c r="H1295" s="430"/>
      <c r="J1295" s="610"/>
      <c r="K1295" s="165"/>
      <c r="L1295" s="173"/>
      <c r="M1295" s="165"/>
      <c r="N1295" s="165"/>
      <c r="O1295" s="113"/>
      <c r="P1295" s="554"/>
      <c r="Q1295" s="166"/>
    </row>
    <row r="1296" spans="1:18" s="164" customFormat="1" ht="15">
      <c r="A1296" s="249"/>
      <c r="B1296" s="534"/>
      <c r="C1296" s="149"/>
      <c r="D1296" s="149"/>
      <c r="E1296" s="121"/>
      <c r="F1296" s="149"/>
      <c r="G1296" s="550">
        <f>SUM(G1294:G1295)</f>
        <v>81</v>
      </c>
      <c r="H1296" s="516" t="s">
        <v>32</v>
      </c>
      <c r="J1296" s="610"/>
      <c r="K1296" s="165"/>
      <c r="L1296" s="173"/>
      <c r="M1296" s="165"/>
      <c r="N1296" s="165"/>
      <c r="O1296" s="113"/>
      <c r="P1296" s="554"/>
      <c r="Q1296" s="166"/>
    </row>
    <row r="1297" spans="1:17" s="164" customFormat="1" ht="15">
      <c r="A1297" s="249"/>
      <c r="B1297" s="215" t="s">
        <v>1214</v>
      </c>
      <c r="C1297" s="186"/>
      <c r="D1297" s="186"/>
      <c r="E1297" s="186"/>
      <c r="F1297" s="186"/>
      <c r="G1297" s="559"/>
      <c r="H1297" s="516"/>
      <c r="J1297" s="433"/>
      <c r="K1297" s="165"/>
      <c r="L1297" s="113"/>
      <c r="M1297" s="113"/>
      <c r="O1297" s="113"/>
      <c r="P1297" s="554"/>
      <c r="Q1297" s="166"/>
    </row>
    <row r="1298" spans="1:17" s="164" customFormat="1">
      <c r="A1298" s="249"/>
      <c r="B1298" s="149" t="s">
        <v>1224</v>
      </c>
      <c r="C1298" s="55">
        <v>40</v>
      </c>
      <c r="D1298" s="184">
        <v>1.2</v>
      </c>
      <c r="E1298" s="165"/>
      <c r="F1298" s="173">
        <f>4.5*0.3</f>
        <v>1.3499999999999999</v>
      </c>
      <c r="G1298" s="432">
        <f>F1298*D1298*C1298</f>
        <v>64.8</v>
      </c>
      <c r="H1298" s="222"/>
      <c r="J1298" s="433"/>
      <c r="K1298" s="165"/>
      <c r="L1298" s="113"/>
      <c r="M1298" s="113"/>
      <c r="O1298" s="113"/>
      <c r="P1298" s="548"/>
      <c r="Q1298" s="166"/>
    </row>
    <row r="1299" spans="1:17" s="164" customFormat="1">
      <c r="A1299" s="249"/>
      <c r="B1299" s="224" t="s">
        <v>1361</v>
      </c>
      <c r="C1299" s="55">
        <v>3</v>
      </c>
      <c r="D1299" s="184">
        <v>1.8</v>
      </c>
      <c r="E1299" s="165"/>
      <c r="F1299" s="173">
        <f>4.5*0.3</f>
        <v>1.3499999999999999</v>
      </c>
      <c r="G1299" s="500">
        <f>F1299*D1299*C1299</f>
        <v>7.2899999999999991</v>
      </c>
      <c r="H1299" s="222"/>
      <c r="J1299" s="433"/>
      <c r="K1299" s="165"/>
      <c r="L1299" s="113"/>
      <c r="M1299" s="113"/>
      <c r="O1299" s="113"/>
      <c r="P1299" s="548"/>
      <c r="Q1299" s="166"/>
    </row>
    <row r="1300" spans="1:17" s="164" customFormat="1">
      <c r="A1300" s="249"/>
      <c r="B1300" s="224"/>
      <c r="C1300" s="55"/>
      <c r="D1300" s="184"/>
      <c r="E1300" s="165"/>
      <c r="F1300" s="173"/>
      <c r="G1300" s="649">
        <f>SUM(G1298:G1299)</f>
        <v>72.09</v>
      </c>
      <c r="H1300" s="516" t="s">
        <v>32</v>
      </c>
      <c r="J1300" s="433"/>
      <c r="K1300" s="165"/>
      <c r="L1300" s="113"/>
      <c r="M1300" s="113"/>
      <c r="O1300" s="113"/>
      <c r="P1300" s="548"/>
      <c r="Q1300" s="166"/>
    </row>
    <row r="1301" spans="1:17" s="164" customFormat="1">
      <c r="A1301" s="249"/>
      <c r="B1301" s="606"/>
      <c r="E1301" s="165"/>
      <c r="G1301" s="554"/>
      <c r="H1301" s="527"/>
      <c r="J1301" s="433"/>
      <c r="K1301" s="165"/>
      <c r="L1301" s="113"/>
      <c r="M1301" s="113"/>
      <c r="O1301" s="113"/>
      <c r="P1301" s="548"/>
      <c r="Q1301" s="166"/>
    </row>
    <row r="1302" spans="1:17" s="164" customFormat="1">
      <c r="A1302" s="249"/>
      <c r="B1302" s="606"/>
      <c r="E1302" s="165"/>
      <c r="G1302" s="413">
        <f>G1296+G1300</f>
        <v>153.09</v>
      </c>
      <c r="H1302" s="527"/>
      <c r="J1302" s="433"/>
      <c r="K1302" s="165"/>
      <c r="L1302" s="113"/>
      <c r="M1302" s="113"/>
      <c r="O1302" s="113"/>
      <c r="P1302" s="548"/>
      <c r="Q1302" s="166"/>
    </row>
    <row r="1303" spans="1:17" s="164" customFormat="1">
      <c r="A1303" s="249"/>
      <c r="B1303" s="606"/>
      <c r="E1303" s="165"/>
      <c r="G1303" s="656">
        <f>G1302*10%</f>
        <v>15.309000000000001</v>
      </c>
      <c r="H1303" s="527"/>
      <c r="J1303" s="433"/>
      <c r="K1303" s="165"/>
      <c r="L1303" s="113"/>
      <c r="M1303" s="113"/>
      <c r="O1303" s="113"/>
      <c r="P1303" s="548"/>
      <c r="Q1303" s="166"/>
    </row>
    <row r="1304" spans="1:17" s="164" customFormat="1" ht="15">
      <c r="A1304" s="249"/>
      <c r="B1304" s="213"/>
      <c r="C1304" s="113"/>
      <c r="D1304" s="113"/>
      <c r="E1304" s="113"/>
      <c r="F1304" s="135" t="s">
        <v>426</v>
      </c>
      <c r="G1304" s="551">
        <f>G1303+G1302</f>
        <v>168.399</v>
      </c>
      <c r="H1304" s="516" t="s">
        <v>32</v>
      </c>
      <c r="J1304" s="433"/>
      <c r="K1304" s="165"/>
      <c r="L1304" s="113"/>
      <c r="M1304" s="113"/>
      <c r="O1304" s="113"/>
      <c r="P1304" s="548"/>
      <c r="Q1304" s="166"/>
    </row>
    <row r="1305" spans="1:17" s="164" customFormat="1">
      <c r="A1305" s="249"/>
      <c r="C1305" s="165"/>
      <c r="D1305" s="999" t="s">
        <v>492</v>
      </c>
      <c r="E1305" s="947">
        <v>26.9</v>
      </c>
      <c r="F1305" s="890" t="s">
        <v>1366</v>
      </c>
      <c r="G1305" s="973">
        <f>E1305*G1304</f>
        <v>4529.9331000000002</v>
      </c>
      <c r="H1305" s="926"/>
      <c r="J1305" s="433"/>
      <c r="K1305" s="165"/>
      <c r="L1305" s="113"/>
      <c r="M1305" s="113"/>
      <c r="O1305" s="113"/>
      <c r="P1305" s="548"/>
      <c r="Q1305" s="166"/>
    </row>
    <row r="1306" spans="1:17" s="164" customFormat="1" ht="15">
      <c r="A1306" s="249"/>
      <c r="C1306" s="165"/>
      <c r="D1306" s="999"/>
      <c r="E1306" s="947"/>
      <c r="F1306" s="890"/>
      <c r="G1306" s="894">
        <f>G1305</f>
        <v>4529.9331000000002</v>
      </c>
      <c r="H1306" s="1041" t="s">
        <v>1170</v>
      </c>
      <c r="J1306" s="433"/>
      <c r="K1306" s="165"/>
      <c r="L1306" s="113"/>
      <c r="M1306" s="113"/>
      <c r="O1306" s="113"/>
      <c r="P1306" s="548"/>
      <c r="Q1306" s="166"/>
    </row>
    <row r="1307" spans="1:17" s="164" customFormat="1">
      <c r="A1307" s="249"/>
      <c r="C1307" s="165"/>
      <c r="D1307" s="173"/>
      <c r="E1307" s="165"/>
      <c r="F1307" s="173"/>
      <c r="G1307" s="432"/>
      <c r="H1307" s="166"/>
      <c r="J1307" s="433"/>
      <c r="K1307" s="165"/>
      <c r="L1307" s="113"/>
      <c r="M1307" s="113"/>
      <c r="O1307" s="113"/>
      <c r="P1307" s="548"/>
      <c r="Q1307" s="166"/>
    </row>
    <row r="1308" spans="1:17" s="164" customFormat="1">
      <c r="A1308" s="249"/>
      <c r="C1308" s="165"/>
      <c r="D1308" s="173"/>
      <c r="E1308" s="165"/>
      <c r="F1308" s="173"/>
      <c r="G1308" s="432"/>
      <c r="H1308" s="166"/>
      <c r="J1308" s="433"/>
      <c r="K1308" s="165"/>
      <c r="L1308" s="113"/>
      <c r="M1308" s="113"/>
      <c r="O1308" s="113"/>
      <c r="P1308" s="548"/>
      <c r="Q1308" s="166"/>
    </row>
    <row r="1309" spans="1:17" s="164" customFormat="1">
      <c r="A1309" s="100"/>
      <c r="B1309" s="171"/>
      <c r="C1309" s="165"/>
      <c r="D1309" s="173"/>
      <c r="E1309" s="165"/>
      <c r="F1309" s="173"/>
      <c r="G1309" s="578"/>
      <c r="H1309" s="166"/>
      <c r="J1309" s="433"/>
      <c r="K1309" s="165"/>
      <c r="L1309" s="113"/>
      <c r="M1309" s="113"/>
      <c r="O1309" s="113"/>
      <c r="P1309" s="548"/>
      <c r="Q1309" s="166"/>
    </row>
    <row r="1310" spans="1:17" s="164" customFormat="1">
      <c r="A1310" s="249"/>
      <c r="C1310" s="113"/>
      <c r="D1310" s="113"/>
      <c r="E1310" s="165"/>
      <c r="F1310" s="113"/>
      <c r="G1310" s="546"/>
      <c r="H1310" s="527"/>
      <c r="J1310" s="433"/>
      <c r="K1310" s="165"/>
      <c r="L1310" s="113"/>
      <c r="M1310" s="113"/>
      <c r="O1310" s="113"/>
      <c r="P1310" s="548"/>
      <c r="Q1310" s="166"/>
    </row>
    <row r="1311" spans="1:17" s="164" customFormat="1" ht="15">
      <c r="A1311" s="249"/>
      <c r="C1311" s="113"/>
      <c r="D1311" s="113"/>
      <c r="E1311" s="165"/>
      <c r="F1311" s="113"/>
      <c r="G1311" s="526"/>
      <c r="H1311" s="527"/>
      <c r="J1311" s="433"/>
      <c r="K1311" s="165"/>
      <c r="L1311" s="113"/>
      <c r="M1311" s="113"/>
      <c r="O1311" s="113"/>
      <c r="P1311" s="548"/>
      <c r="Q1311" s="166"/>
    </row>
    <row r="1312" spans="1:17" s="164" customFormat="1">
      <c r="A1312" s="249"/>
      <c r="C1312" s="113"/>
      <c r="D1312" s="113"/>
      <c r="E1312" s="165"/>
      <c r="F1312" s="113"/>
      <c r="G1312" s="554"/>
      <c r="H1312" s="527"/>
      <c r="J1312" s="433"/>
      <c r="K1312" s="165"/>
      <c r="L1312" s="113"/>
      <c r="M1312" s="113"/>
      <c r="O1312" s="113"/>
      <c r="P1312" s="548"/>
      <c r="Q1312" s="166"/>
    </row>
    <row r="1313" spans="1:17" s="164" customFormat="1">
      <c r="A1313" s="249"/>
      <c r="C1313" s="113"/>
      <c r="D1313" s="113"/>
      <c r="E1313" s="165"/>
      <c r="F1313" s="113"/>
      <c r="G1313" s="546"/>
      <c r="H1313" s="527"/>
      <c r="J1313" s="433"/>
      <c r="K1313" s="165"/>
      <c r="L1313" s="113"/>
      <c r="M1313" s="113"/>
      <c r="O1313" s="113"/>
      <c r="P1313" s="548"/>
      <c r="Q1313" s="166"/>
    </row>
    <row r="1314" spans="1:17" s="164" customFormat="1">
      <c r="A1314" s="249"/>
      <c r="C1314" s="113"/>
      <c r="D1314" s="113"/>
      <c r="E1314" s="165"/>
      <c r="F1314" s="113"/>
      <c r="J1314" s="433"/>
      <c r="K1314" s="100"/>
      <c r="L1314" s="102"/>
      <c r="M1314" s="102"/>
      <c r="N1314" s="102"/>
      <c r="O1314" s="102"/>
      <c r="P1314" s="100"/>
    </row>
    <row r="1315" spans="1:17" s="164" customFormat="1">
      <c r="A1315" s="249"/>
      <c r="B1315" s="606"/>
      <c r="E1315" s="100"/>
      <c r="G1315" s="554"/>
      <c r="H1315" s="527"/>
      <c r="J1315" s="433"/>
      <c r="K1315" s="100"/>
      <c r="L1315" s="102"/>
      <c r="M1315" s="102"/>
      <c r="N1315" s="102"/>
      <c r="O1315" s="102"/>
      <c r="P1315" s="100"/>
    </row>
    <row r="1316" spans="1:17" s="164" customFormat="1">
      <c r="A1316" s="249"/>
      <c r="E1316" s="165"/>
      <c r="G1316" s="176"/>
      <c r="H1316" s="166"/>
      <c r="K1316" s="165"/>
      <c r="L1316" s="165"/>
      <c r="M1316" s="165"/>
    </row>
  </sheetData>
  <mergeCells count="27">
    <mergeCell ref="K947:L947"/>
    <mergeCell ref="K934:L934"/>
    <mergeCell ref="K942:L942"/>
    <mergeCell ref="D1134:E1134"/>
    <mergeCell ref="D1054:E1054"/>
    <mergeCell ref="D1055:E1055"/>
    <mergeCell ref="K1132:L1132"/>
    <mergeCell ref="K937:L937"/>
    <mergeCell ref="D1063:E1063"/>
    <mergeCell ref="D1104:E1104"/>
    <mergeCell ref="K948:L948"/>
    <mergeCell ref="D805:E805"/>
    <mergeCell ref="K935:L935"/>
    <mergeCell ref="A1:H1"/>
    <mergeCell ref="A2:H2"/>
    <mergeCell ref="K258:M258"/>
    <mergeCell ref="D353:E353"/>
    <mergeCell ref="D819:E819"/>
    <mergeCell ref="K797:L797"/>
    <mergeCell ref="K779:L779"/>
    <mergeCell ref="D11:E11"/>
    <mergeCell ref="D54:E54"/>
    <mergeCell ref="D148:E148"/>
    <mergeCell ref="D243:E243"/>
    <mergeCell ref="K794:L794"/>
    <mergeCell ref="K798:L798"/>
    <mergeCell ref="K933:L933"/>
  </mergeCells>
  <printOptions horizontalCentered="1" gridLines="1"/>
  <pageMargins left="0.44685039399999998" right="0.44685039399999998" top="1.1968503939999999" bottom="0.94685039400000004" header="0.31496062992126" footer="0.31496062992126"/>
  <pageSetup paperSize="9" orientation="portrait" r:id="rId1"/>
  <headerFooter>
    <oddHeader>&amp;C&amp;"Arial,Bold"&amp;12PROJECT:-&amp;"Arial,Regular"
PROPOSED CONSTRUCTION OF EMRS (Ekalavya Model Residential School)
 AT BIKRAMPUR, DIST:-RAYAGADA, ODISHA.</oddHeader>
    <oddFooter>&amp;L&amp;"Arial,Bold"&amp;11HSCL</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SheetLayoutView="100" workbookViewId="0">
      <selection activeCell="K10" sqref="K10"/>
    </sheetView>
  </sheetViews>
  <sheetFormatPr defaultRowHeight="12.75"/>
  <cols>
    <col min="1" max="1" width="6.140625" style="663" bestFit="1" customWidth="1"/>
    <col min="2" max="2" width="33.140625" style="663" customWidth="1"/>
    <col min="3" max="3" width="10.7109375" style="663" hidden="1" customWidth="1"/>
    <col min="4" max="4" width="7.5703125" style="663" bestFit="1" customWidth="1"/>
    <col min="5" max="5" width="6.5703125" style="663" hidden="1" customWidth="1"/>
    <col min="6" max="6" width="6.5703125" style="663" customWidth="1"/>
    <col min="7" max="7" width="13.140625" style="663" bestFit="1" customWidth="1"/>
    <col min="8" max="8" width="19.140625" style="663" bestFit="1" customWidth="1"/>
    <col min="9" max="9" width="22.42578125" style="663" bestFit="1" customWidth="1"/>
    <col min="10" max="10" width="9.140625" style="663"/>
    <col min="11" max="11" width="14" style="663" bestFit="1" customWidth="1"/>
    <col min="12" max="12" width="22.42578125" style="663" bestFit="1" customWidth="1"/>
    <col min="13" max="16384" width="9.140625" style="663"/>
  </cols>
  <sheetData>
    <row r="1" spans="1:9" ht="15" customHeight="1">
      <c r="A1" s="1283" t="s">
        <v>1216</v>
      </c>
      <c r="B1" s="1283"/>
      <c r="C1" s="1283"/>
      <c r="D1" s="1283"/>
      <c r="E1" s="1283"/>
      <c r="F1" s="1283"/>
      <c r="G1" s="1283"/>
      <c r="H1" s="1283"/>
    </row>
    <row r="2" spans="1:9" ht="15" customHeight="1">
      <c r="A2" s="664"/>
      <c r="B2" s="664"/>
      <c r="C2" s="664"/>
      <c r="D2" s="664"/>
      <c r="E2" s="664"/>
      <c r="F2" s="664"/>
      <c r="G2" s="664"/>
      <c r="H2" s="664"/>
    </row>
    <row r="3" spans="1:9" ht="30">
      <c r="A3" s="665" t="s">
        <v>1338</v>
      </c>
      <c r="B3" s="666" t="s">
        <v>1314</v>
      </c>
      <c r="C3" s="667"/>
      <c r="D3" s="666" t="s">
        <v>1350</v>
      </c>
      <c r="E3" s="667"/>
      <c r="F3" s="667" t="s">
        <v>21</v>
      </c>
      <c r="G3" s="666" t="s">
        <v>1351</v>
      </c>
      <c r="H3" s="666" t="s">
        <v>1339</v>
      </c>
    </row>
    <row r="4" spans="1:9" ht="15" customHeight="1"/>
    <row r="5" spans="1:9" ht="15" customHeight="1"/>
    <row r="6" spans="1:9" ht="15" customHeight="1">
      <c r="A6" s="668">
        <v>1</v>
      </c>
      <c r="B6" s="669" t="s">
        <v>1322</v>
      </c>
    </row>
    <row r="7" spans="1:9" ht="15" customHeight="1">
      <c r="A7" s="670" t="s">
        <v>475</v>
      </c>
      <c r="B7" s="671" t="s">
        <v>1323</v>
      </c>
      <c r="C7" s="672">
        <f>16907.37+16172.37</f>
        <v>33079.74</v>
      </c>
      <c r="D7" s="673">
        <f>C7/10.76</f>
        <v>3074.3252788104087</v>
      </c>
      <c r="E7" s="674" t="e">
        <f>H7/C7</f>
        <v>#REF!</v>
      </c>
      <c r="F7" s="674" t="s">
        <v>32</v>
      </c>
      <c r="G7" s="673" t="e">
        <f>E7*10.76</f>
        <v>#REF!</v>
      </c>
      <c r="H7" s="675" t="e">
        <f>'Abst(Admin)'!F116</f>
        <v>#REF!</v>
      </c>
    </row>
    <row r="8" spans="1:9" ht="15" customHeight="1">
      <c r="A8" s="668" t="s">
        <v>1324</v>
      </c>
      <c r="B8" s="671" t="s">
        <v>1346</v>
      </c>
      <c r="C8" s="676"/>
      <c r="D8" s="676"/>
      <c r="E8" s="676"/>
      <c r="F8" s="676"/>
      <c r="G8" s="676"/>
      <c r="H8" s="677" t="e">
        <f>H7*10%</f>
        <v>#REF!</v>
      </c>
      <c r="I8" s="674"/>
    </row>
    <row r="9" spans="1:9" ht="25.5">
      <c r="A9" s="668" t="s">
        <v>477</v>
      </c>
      <c r="B9" s="678" t="s">
        <v>1320</v>
      </c>
      <c r="H9" s="677" t="e">
        <f>H7*10%</f>
        <v>#REF!</v>
      </c>
      <c r="I9" s="674"/>
    </row>
    <row r="10" spans="1:9">
      <c r="A10" s="668" t="s">
        <v>478</v>
      </c>
      <c r="B10" s="678" t="s">
        <v>1352</v>
      </c>
      <c r="H10" s="679">
        <f>D7*500</f>
        <v>1537162.6394052044</v>
      </c>
      <c r="I10" s="674"/>
    </row>
    <row r="11" spans="1:9" ht="15" customHeight="1">
      <c r="A11" s="672"/>
      <c r="H11" s="680" t="e">
        <f>SUM(H7:H10)</f>
        <v>#REF!</v>
      </c>
      <c r="I11" s="674"/>
    </row>
    <row r="12" spans="1:9" ht="15" customHeight="1">
      <c r="A12" s="681"/>
      <c r="I12" s="674"/>
    </row>
    <row r="13" spans="1:9" ht="15" customHeight="1">
      <c r="A13" s="668">
        <v>2</v>
      </c>
      <c r="B13" s="669" t="s">
        <v>1315</v>
      </c>
      <c r="I13" s="674"/>
    </row>
    <row r="14" spans="1:9" ht="15" customHeight="1">
      <c r="A14" s="670" t="s">
        <v>475</v>
      </c>
      <c r="B14" s="671" t="s">
        <v>1323</v>
      </c>
      <c r="C14" s="682">
        <f>12429.43+10943.77</f>
        <v>23373.200000000001</v>
      </c>
      <c r="D14" s="673">
        <f>C14/10.76</f>
        <v>2172.2304832713758</v>
      </c>
      <c r="E14" s="674">
        <f>H14/C14</f>
        <v>1042.5773107661767</v>
      </c>
      <c r="F14" s="674" t="s">
        <v>32</v>
      </c>
      <c r="G14" s="673">
        <f>E14*10.76</f>
        <v>11218.131863844061</v>
      </c>
      <c r="H14" s="677">
        <f>'Abs(Hostel)'!F114</f>
        <v>24368368</v>
      </c>
      <c r="I14" s="683"/>
    </row>
    <row r="15" spans="1:9" ht="15" customHeight="1">
      <c r="A15" s="670" t="s">
        <v>476</v>
      </c>
      <c r="B15" s="671" t="s">
        <v>1321</v>
      </c>
      <c r="C15" s="676"/>
      <c r="D15" s="676"/>
      <c r="E15" s="676"/>
      <c r="F15" s="676"/>
      <c r="G15" s="676"/>
      <c r="H15" s="677">
        <f>H14*15%</f>
        <v>3655255.1999999997</v>
      </c>
      <c r="I15" s="676"/>
    </row>
    <row r="16" spans="1:9" ht="25.5">
      <c r="A16" s="670" t="s">
        <v>477</v>
      </c>
      <c r="B16" s="678" t="s">
        <v>1320</v>
      </c>
      <c r="H16" s="679">
        <f>H14*10%</f>
        <v>2436836.8000000003</v>
      </c>
    </row>
    <row r="17" spans="1:12" ht="15" customHeight="1">
      <c r="A17" s="681"/>
      <c r="H17" s="680">
        <f>SUM(H14:H16)</f>
        <v>30460460</v>
      </c>
    </row>
    <row r="18" spans="1:12" ht="15" customHeight="1">
      <c r="A18" s="681"/>
      <c r="B18" s="671" t="s">
        <v>1317</v>
      </c>
      <c r="H18" s="680">
        <f>H17*2</f>
        <v>60920920</v>
      </c>
    </row>
    <row r="19" spans="1:12" ht="15" hidden="1" customHeight="1">
      <c r="A19" s="681"/>
      <c r="H19" s="680"/>
    </row>
    <row r="20" spans="1:12" ht="30.75" hidden="1">
      <c r="A20" s="668">
        <v>3</v>
      </c>
      <c r="B20" s="669" t="s">
        <v>1318</v>
      </c>
      <c r="C20" s="684"/>
      <c r="D20" s="684"/>
      <c r="E20" s="684"/>
      <c r="F20" s="684"/>
      <c r="G20" s="684"/>
      <c r="H20" s="684"/>
      <c r="I20" s="685"/>
    </row>
    <row r="21" spans="1:12" ht="15" hidden="1" customHeight="1">
      <c r="A21" s="670" t="s">
        <v>475</v>
      </c>
      <c r="B21" s="671" t="s">
        <v>1323</v>
      </c>
      <c r="C21" s="682">
        <f>2945+2945+2945</f>
        <v>8835</v>
      </c>
      <c r="D21" s="673">
        <f>C21/10.76</f>
        <v>821.09665427509299</v>
      </c>
      <c r="E21" s="683">
        <f>E14</f>
        <v>1042.5773107661767</v>
      </c>
      <c r="F21" s="674" t="s">
        <v>32</v>
      </c>
      <c r="G21" s="673">
        <f>E21*10.76</f>
        <v>11218.131863844061</v>
      </c>
      <c r="H21" s="686">
        <f>G21*D21</f>
        <v>9211170.5406191722</v>
      </c>
    </row>
    <row r="22" spans="1:12" ht="18.75" hidden="1">
      <c r="A22" s="670" t="s">
        <v>476</v>
      </c>
      <c r="B22" s="671" t="s">
        <v>1321</v>
      </c>
      <c r="C22" s="676"/>
      <c r="D22" s="676"/>
      <c r="E22" s="676"/>
      <c r="F22" s="676"/>
      <c r="G22" s="676"/>
      <c r="H22" s="677">
        <f>H21*15%</f>
        <v>1381675.5810928757</v>
      </c>
      <c r="I22" s="687"/>
    </row>
    <row r="23" spans="1:12" ht="25.5" hidden="1">
      <c r="A23" s="670" t="s">
        <v>477</v>
      </c>
      <c r="B23" s="678" t="s">
        <v>1320</v>
      </c>
      <c r="H23" s="679">
        <f>H21*10%</f>
        <v>921117.05406191724</v>
      </c>
      <c r="I23" s="688"/>
    </row>
    <row r="24" spans="1:12" ht="15" hidden="1" customHeight="1">
      <c r="A24" s="689"/>
      <c r="H24" s="680">
        <f>SUM(H21:H23)</f>
        <v>11513963.175773965</v>
      </c>
      <c r="I24" s="688"/>
    </row>
    <row r="25" spans="1:12" ht="15" customHeight="1">
      <c r="A25" s="690"/>
      <c r="B25" s="691"/>
      <c r="C25" s="692"/>
      <c r="D25" s="692"/>
      <c r="E25" s="692"/>
      <c r="F25" s="692"/>
      <c r="G25" s="692"/>
      <c r="H25" s="693"/>
      <c r="I25" s="688"/>
    </row>
    <row r="26" spans="1:12" ht="15" customHeight="1">
      <c r="A26" s="670">
        <v>3</v>
      </c>
      <c r="B26" s="669" t="s">
        <v>1316</v>
      </c>
      <c r="C26" s="692"/>
      <c r="D26" s="692"/>
      <c r="E26" s="692"/>
      <c r="F26" s="692"/>
      <c r="G26" s="692"/>
      <c r="H26" s="693"/>
      <c r="I26" s="688"/>
    </row>
    <row r="27" spans="1:12" ht="15" customHeight="1">
      <c r="A27" s="670" t="s">
        <v>475</v>
      </c>
      <c r="B27" s="671" t="s">
        <v>1323</v>
      </c>
      <c r="C27" s="694">
        <f>1287+993.9</f>
        <v>2280.9</v>
      </c>
      <c r="D27" s="673">
        <f>C27/10.76</f>
        <v>211.97955390334573</v>
      </c>
      <c r="E27" s="695">
        <f>E21</f>
        <v>1042.5773107661767</v>
      </c>
      <c r="F27" s="674" t="s">
        <v>32</v>
      </c>
      <c r="G27" s="673">
        <f>E27*10.76</f>
        <v>11218.131863844061</v>
      </c>
      <c r="H27" s="696">
        <f>G27*D27</f>
        <v>2378014.5881265723</v>
      </c>
      <c r="I27" s="688"/>
    </row>
    <row r="28" spans="1:12" ht="15" customHeight="1">
      <c r="A28" s="670" t="s">
        <v>476</v>
      </c>
      <c r="B28" s="671" t="s">
        <v>1321</v>
      </c>
      <c r="C28" s="676"/>
      <c r="D28" s="676"/>
      <c r="E28" s="676"/>
      <c r="F28" s="676"/>
      <c r="G28" s="676"/>
      <c r="H28" s="677">
        <f>H27*15%</f>
        <v>356702.18821898586</v>
      </c>
      <c r="I28" s="688"/>
      <c r="L28" s="697"/>
    </row>
    <row r="29" spans="1:12" ht="25.5">
      <c r="A29" s="670" t="s">
        <v>477</v>
      </c>
      <c r="B29" s="678" t="s">
        <v>1320</v>
      </c>
      <c r="H29" s="679">
        <f>H27*10%</f>
        <v>237801.45881265725</v>
      </c>
      <c r="I29" s="688"/>
    </row>
    <row r="30" spans="1:12" ht="15" customHeight="1">
      <c r="A30" s="698"/>
      <c r="H30" s="680">
        <f>SUM(H27:H29)</f>
        <v>2972518.2351582153</v>
      </c>
      <c r="I30" s="699"/>
    </row>
    <row r="31" spans="1:12" ht="15" hidden="1" customHeight="1">
      <c r="A31" s="698"/>
      <c r="H31" s="680"/>
      <c r="I31" s="699"/>
    </row>
    <row r="32" spans="1:12" ht="15" hidden="1" customHeight="1">
      <c r="A32" s="698">
        <v>5</v>
      </c>
      <c r="B32" s="669" t="s">
        <v>1319</v>
      </c>
      <c r="C32" s="700"/>
      <c r="D32" s="701"/>
      <c r="E32" s="701"/>
      <c r="F32" s="701"/>
      <c r="G32" s="701"/>
      <c r="H32" s="701"/>
      <c r="I32" s="702"/>
    </row>
    <row r="33" spans="1:11" ht="15" hidden="1" customHeight="1">
      <c r="A33" s="670" t="s">
        <v>475</v>
      </c>
      <c r="B33" s="671" t="s">
        <v>1323</v>
      </c>
      <c r="C33" s="694">
        <f>1525+1525</f>
        <v>3050</v>
      </c>
      <c r="D33" s="673">
        <f>C33/10.76</f>
        <v>283.45724907063197</v>
      </c>
      <c r="E33" s="695">
        <f>E27</f>
        <v>1042.5773107661767</v>
      </c>
      <c r="F33" s="674" t="s">
        <v>32</v>
      </c>
      <c r="G33" s="673">
        <f>E33*10.76</f>
        <v>11218.131863844061</v>
      </c>
      <c r="H33" s="696">
        <f>G33*D33</f>
        <v>3179860.7978368388</v>
      </c>
      <c r="I33" s="702"/>
    </row>
    <row r="34" spans="1:11" ht="18.75" hidden="1">
      <c r="A34" s="670" t="s">
        <v>476</v>
      </c>
      <c r="B34" s="671" t="s">
        <v>1321</v>
      </c>
      <c r="C34" s="676"/>
      <c r="D34" s="676"/>
      <c r="E34" s="676"/>
      <c r="F34" s="676"/>
      <c r="G34" s="676"/>
      <c r="H34" s="677">
        <f>H33*15%</f>
        <v>476979.11967552581</v>
      </c>
      <c r="I34" s="702"/>
    </row>
    <row r="35" spans="1:11" ht="25.5" hidden="1">
      <c r="A35" s="670" t="s">
        <v>477</v>
      </c>
      <c r="B35" s="678" t="s">
        <v>1320</v>
      </c>
      <c r="H35" s="679">
        <f>H33*10%</f>
        <v>317986.07978368388</v>
      </c>
      <c r="I35" s="702"/>
    </row>
    <row r="36" spans="1:11" ht="15" hidden="1" customHeight="1">
      <c r="A36" s="698"/>
      <c r="H36" s="680">
        <f>SUM(H33:H35)</f>
        <v>3974825.9972960483</v>
      </c>
      <c r="I36" s="702"/>
    </row>
    <row r="37" spans="1:11" ht="15" customHeight="1">
      <c r="A37" s="698"/>
      <c r="H37" s="680"/>
      <c r="I37" s="702"/>
    </row>
    <row r="38" spans="1:11" ht="15" customHeight="1">
      <c r="A38" s="703">
        <v>4</v>
      </c>
      <c r="B38" s="669" t="s">
        <v>1340</v>
      </c>
      <c r="C38" s="704"/>
      <c r="D38" s="704"/>
      <c r="E38" s="704"/>
      <c r="F38" s="704"/>
      <c r="G38" s="704"/>
      <c r="H38" s="704"/>
    </row>
    <row r="39" spans="1:11" ht="15" customHeight="1">
      <c r="A39" s="670" t="s">
        <v>475</v>
      </c>
      <c r="B39" s="663" t="s">
        <v>1347</v>
      </c>
      <c r="C39" s="705"/>
      <c r="D39" s="706">
        <v>3448.3</v>
      </c>
      <c r="E39" s="705"/>
      <c r="F39" s="674" t="s">
        <v>32</v>
      </c>
      <c r="G39" s="707">
        <v>145</v>
      </c>
      <c r="H39" s="686">
        <f>G39*D39</f>
        <v>500003.5</v>
      </c>
      <c r="I39" s="1280"/>
      <c r="J39" s="1281"/>
      <c r="K39" s="708"/>
    </row>
    <row r="40" spans="1:11" ht="15" customHeight="1">
      <c r="A40" s="670" t="s">
        <v>476</v>
      </c>
      <c r="B40" s="709" t="s">
        <v>1348</v>
      </c>
      <c r="C40" s="705"/>
      <c r="D40" s="706">
        <v>260.89999999999998</v>
      </c>
      <c r="E40" s="705"/>
      <c r="F40" s="674" t="s">
        <v>434</v>
      </c>
      <c r="G40" s="707">
        <v>11500</v>
      </c>
      <c r="H40" s="686">
        <f>G40*D40</f>
        <v>3000349.9999999995</v>
      </c>
      <c r="I40" s="1281"/>
      <c r="J40" s="1281"/>
      <c r="K40" s="708"/>
    </row>
    <row r="41" spans="1:11" ht="15" customHeight="1">
      <c r="A41" s="670" t="s">
        <v>477</v>
      </c>
      <c r="B41" s="663" t="s">
        <v>1349</v>
      </c>
      <c r="C41" s="705"/>
      <c r="D41" s="706">
        <v>2105.3000000000002</v>
      </c>
      <c r="E41" s="705"/>
      <c r="F41" s="674" t="s">
        <v>32</v>
      </c>
      <c r="G41" s="707">
        <v>95</v>
      </c>
      <c r="H41" s="679">
        <f>G41*D41</f>
        <v>200003.50000000003</v>
      </c>
      <c r="I41" s="1281"/>
      <c r="J41" s="1281"/>
      <c r="K41" s="708"/>
    </row>
    <row r="42" spans="1:11" ht="15" customHeight="1">
      <c r="A42" s="710"/>
      <c r="C42" s="705"/>
      <c r="D42" s="705"/>
      <c r="E42" s="705"/>
      <c r="F42" s="705"/>
      <c r="G42" s="705"/>
      <c r="H42" s="680">
        <f>SUM(H39:H41)</f>
        <v>3700356.9999999995</v>
      </c>
      <c r="K42" s="708"/>
    </row>
    <row r="43" spans="1:11" ht="15" customHeight="1">
      <c r="A43" s="710"/>
      <c r="C43" s="705"/>
      <c r="D43" s="705"/>
      <c r="E43" s="705"/>
      <c r="F43" s="705"/>
      <c r="G43" s="705"/>
      <c r="H43" s="711"/>
      <c r="K43" s="708"/>
    </row>
    <row r="44" spans="1:11" ht="15" customHeight="1">
      <c r="A44" s="681"/>
      <c r="G44" s="666" t="s">
        <v>471</v>
      </c>
      <c r="H44" s="712" t="e">
        <f>H42+H30+H18+H11</f>
        <v>#REF!</v>
      </c>
      <c r="I44" s="1282"/>
      <c r="J44" s="1282"/>
      <c r="K44" s="713"/>
    </row>
    <row r="45" spans="1:11" ht="15" customHeight="1">
      <c r="A45" s="681"/>
      <c r="B45" s="714"/>
      <c r="C45" s="715"/>
      <c r="D45" s="715"/>
      <c r="H45" s="697"/>
      <c r="I45" s="682"/>
      <c r="J45" s="682"/>
      <c r="K45" s="713"/>
    </row>
    <row r="46" spans="1:11" ht="15" customHeight="1">
      <c r="A46" s="716" t="s">
        <v>1341</v>
      </c>
      <c r="B46" s="717" t="s">
        <v>1345</v>
      </c>
      <c r="C46" s="714"/>
      <c r="D46" s="714"/>
      <c r="E46" s="714"/>
      <c r="F46" s="714"/>
      <c r="H46" s="718" t="e">
        <f>H44*3%</f>
        <v>#REF!</v>
      </c>
    </row>
    <row r="47" spans="1:11" ht="15" customHeight="1">
      <c r="A47" s="681"/>
      <c r="B47" s="714"/>
      <c r="C47" s="714"/>
      <c r="D47" s="714"/>
      <c r="E47" s="714"/>
      <c r="F47" s="714"/>
      <c r="G47" s="714"/>
      <c r="H47" s="718"/>
    </row>
    <row r="48" spans="1:11" ht="15" customHeight="1">
      <c r="A48" s="716" t="s">
        <v>1341</v>
      </c>
      <c r="B48" s="717" t="s">
        <v>1344</v>
      </c>
      <c r="C48" s="714"/>
      <c r="D48" s="714"/>
      <c r="E48" s="714"/>
      <c r="F48" s="714"/>
      <c r="G48" s="714"/>
      <c r="H48" s="718" t="e">
        <f>H44*1%</f>
        <v>#REF!</v>
      </c>
    </row>
    <row r="49" spans="1:14" ht="15" customHeight="1">
      <c r="A49" s="681"/>
      <c r="B49" s="719"/>
      <c r="C49" s="714"/>
      <c r="D49" s="714"/>
      <c r="E49" s="714"/>
      <c r="F49" s="714"/>
      <c r="G49" s="714"/>
      <c r="H49" s="720"/>
    </row>
    <row r="50" spans="1:14" ht="15" customHeight="1">
      <c r="A50" s="681"/>
      <c r="G50" s="666" t="s">
        <v>1337</v>
      </c>
      <c r="H50" s="712" t="e">
        <f>H44+H46+H48</f>
        <v>#REF!</v>
      </c>
    </row>
    <row r="51" spans="1:14" ht="15" customHeight="1">
      <c r="A51" s="681"/>
      <c r="H51" s="697"/>
    </row>
    <row r="52" spans="1:14" ht="15" customHeight="1">
      <c r="A52" s="716" t="s">
        <v>1341</v>
      </c>
      <c r="B52" s="717" t="s">
        <v>1343</v>
      </c>
      <c r="C52" s="714"/>
      <c r="D52" s="714"/>
      <c r="E52" s="714"/>
      <c r="F52" s="714"/>
      <c r="G52" s="714"/>
      <c r="H52" s="697" t="e">
        <f>H50*5.8%</f>
        <v>#REF!</v>
      </c>
      <c r="L52" s="721"/>
    </row>
    <row r="53" spans="1:14" ht="15" customHeight="1">
      <c r="A53" s="681"/>
      <c r="B53" s="714"/>
      <c r="C53" s="714"/>
      <c r="D53" s="714"/>
      <c r="E53" s="714"/>
      <c r="F53" s="714"/>
      <c r="G53" s="714"/>
      <c r="H53" s="697"/>
      <c r="N53" s="722"/>
    </row>
    <row r="54" spans="1:14" ht="15" customHeight="1">
      <c r="A54" s="716" t="s">
        <v>1341</v>
      </c>
      <c r="B54" s="717" t="s">
        <v>1353</v>
      </c>
      <c r="C54" s="714"/>
      <c r="D54" s="714"/>
      <c r="E54" s="714"/>
      <c r="F54" s="714"/>
      <c r="G54" s="714"/>
      <c r="H54" s="697">
        <v>8268037</v>
      </c>
    </row>
    <row r="55" spans="1:14">
      <c r="A55" s="681"/>
      <c r="B55" s="714"/>
      <c r="C55" s="714"/>
      <c r="D55" s="714"/>
      <c r="E55" s="714"/>
      <c r="F55" s="714"/>
      <c r="G55" s="714"/>
      <c r="H55" s="697"/>
    </row>
    <row r="56" spans="1:14">
      <c r="A56" s="716" t="s">
        <v>1341</v>
      </c>
      <c r="B56" s="717" t="s">
        <v>1342</v>
      </c>
      <c r="C56" s="714"/>
      <c r="D56" s="714"/>
      <c r="E56" s="714"/>
      <c r="F56" s="714"/>
      <c r="G56" s="714"/>
      <c r="H56" s="723">
        <f>H54*14.5%</f>
        <v>1198865.365</v>
      </c>
      <c r="I56" s="714"/>
      <c r="L56" s="722"/>
    </row>
    <row r="57" spans="1:14" ht="15" customHeight="1">
      <c r="A57" s="681"/>
      <c r="G57" s="666" t="s">
        <v>1102</v>
      </c>
      <c r="H57" s="712" t="e">
        <f>SUM(H50:H56)</f>
        <v>#REF!</v>
      </c>
    </row>
    <row r="58" spans="1:14" ht="15" customHeight="1">
      <c r="A58" s="681"/>
      <c r="G58" s="666" t="s">
        <v>120</v>
      </c>
      <c r="H58" s="724" t="e">
        <f>ROUND(H57,-1)</f>
        <v>#REF!</v>
      </c>
    </row>
    <row r="59" spans="1:14" ht="15" customHeight="1">
      <c r="A59" s="681"/>
      <c r="G59" s="666"/>
      <c r="H59" s="697"/>
    </row>
    <row r="60" spans="1:14" ht="15" customHeight="1">
      <c r="A60" s="681"/>
      <c r="H60" s="697"/>
    </row>
  </sheetData>
  <mergeCells count="3">
    <mergeCell ref="I39:J41"/>
    <mergeCell ref="I44:J44"/>
    <mergeCell ref="A1:H1"/>
  </mergeCells>
  <printOptions horizontalCentered="1"/>
  <pageMargins left="0.45866141700000002" right="0.45866141700000002" top="0.49803149600000002" bottom="0.49803149600000002" header="0.31496062992126" footer="0.31496062992126"/>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view="pageBreakPreview" topLeftCell="A38" zoomScale="110" zoomScaleSheetLayoutView="110" workbookViewId="0">
      <selection activeCell="B77" sqref="B77"/>
    </sheetView>
  </sheetViews>
  <sheetFormatPr defaultRowHeight="12.75"/>
  <cols>
    <col min="1" max="1" width="7.28515625" customWidth="1"/>
    <col min="2" max="2" width="35.140625" customWidth="1"/>
    <col min="3" max="3" width="12.7109375" bestFit="1" customWidth="1"/>
    <col min="4" max="4" width="8.7109375" customWidth="1"/>
    <col min="5" max="5" width="10.42578125" bestFit="1" customWidth="1"/>
    <col min="6" max="6" width="22.42578125" bestFit="1" customWidth="1"/>
    <col min="7" max="7" width="14.5703125" bestFit="1" customWidth="1"/>
    <col min="11" max="11" width="15.7109375" customWidth="1"/>
  </cols>
  <sheetData>
    <row r="1" spans="1:6" hidden="1"/>
    <row r="2" spans="1:6" hidden="1"/>
    <row r="3" spans="1:6" hidden="1"/>
    <row r="4" spans="1:6" hidden="1"/>
    <row r="5" spans="1:6" hidden="1"/>
    <row r="6" spans="1:6" hidden="1"/>
    <row r="7" spans="1:6" hidden="1"/>
    <row r="8" spans="1:6" hidden="1"/>
    <row r="9" spans="1:6" ht="21.75" hidden="1">
      <c r="A9" s="1285" t="s">
        <v>1216</v>
      </c>
      <c r="B9" s="1285"/>
      <c r="C9" s="1285"/>
      <c r="D9" s="1285"/>
      <c r="E9" s="1285"/>
      <c r="F9" s="1285"/>
    </row>
    <row r="10" spans="1:6" ht="24.75" hidden="1" customHeight="1"/>
    <row r="11" spans="1:6" hidden="1"/>
    <row r="12" spans="1:6" ht="18.75" hidden="1">
      <c r="A12" s="125"/>
      <c r="B12" s="725" t="s">
        <v>1382</v>
      </c>
      <c r="C12" s="446"/>
      <c r="D12" s="446"/>
      <c r="E12" s="446"/>
      <c r="F12" s="725" t="s">
        <v>1383</v>
      </c>
    </row>
    <row r="13" spans="1:6" ht="21" hidden="1" customHeight="1">
      <c r="A13" s="149"/>
      <c r="B13" s="149"/>
      <c r="C13" s="149"/>
      <c r="D13" s="149"/>
      <c r="E13" s="149"/>
      <c r="F13" s="149"/>
    </row>
    <row r="14" spans="1:6" ht="18.75" hidden="1">
      <c r="A14" s="125"/>
      <c r="B14" s="662"/>
      <c r="C14" s="447"/>
      <c r="D14" s="447"/>
      <c r="E14" s="447"/>
      <c r="F14" s="448"/>
    </row>
    <row r="15" spans="1:6" ht="18.75" hidden="1">
      <c r="A15" s="726" t="s">
        <v>37</v>
      </c>
      <c r="B15" s="727" t="s">
        <v>403</v>
      </c>
      <c r="C15" s="447"/>
      <c r="D15" s="447"/>
      <c r="E15" s="447"/>
      <c r="F15" s="449">
        <f>[6]ABSTRACT!F147</f>
        <v>14852734.6</v>
      </c>
    </row>
    <row r="16" spans="1:6" ht="18.75" hidden="1">
      <c r="A16" s="726"/>
      <c r="B16" s="727" t="s">
        <v>1384</v>
      </c>
      <c r="C16" s="447"/>
      <c r="D16" s="447"/>
      <c r="E16" s="447"/>
      <c r="F16" s="449">
        <f>F15*15%</f>
        <v>2227910.19</v>
      </c>
    </row>
    <row r="17" spans="1:6" ht="28.5" hidden="1">
      <c r="A17" s="726"/>
      <c r="B17" s="728" t="s">
        <v>1385</v>
      </c>
      <c r="C17" s="447"/>
      <c r="D17" s="447"/>
      <c r="E17" s="447"/>
      <c r="F17" s="449">
        <f>F15*10%</f>
        <v>1485273.46</v>
      </c>
    </row>
    <row r="18" spans="1:6" ht="18.75" hidden="1">
      <c r="A18" s="729"/>
      <c r="B18" s="730"/>
      <c r="C18" s="447"/>
      <c r="D18" s="447"/>
      <c r="E18" s="450"/>
      <c r="F18" s="731">
        <f>SUM(F15:F17)</f>
        <v>18565918.25</v>
      </c>
    </row>
    <row r="19" spans="1:6" ht="18.75" hidden="1">
      <c r="A19" s="729"/>
      <c r="B19" s="730"/>
      <c r="C19" s="447"/>
      <c r="D19" s="447"/>
      <c r="E19" s="450"/>
      <c r="F19" s="449"/>
    </row>
    <row r="20" spans="1:6" ht="18.75" hidden="1">
      <c r="B20" s="732" t="s">
        <v>1386</v>
      </c>
      <c r="C20" s="733"/>
      <c r="D20" s="733"/>
      <c r="E20" s="733"/>
      <c r="F20" s="734">
        <f>F18*1%</f>
        <v>185659.1825</v>
      </c>
    </row>
    <row r="21" spans="1:6" ht="18.75" hidden="1">
      <c r="B21" s="735"/>
      <c r="C21" s="733"/>
      <c r="D21" s="733"/>
      <c r="E21" s="450" t="s">
        <v>426</v>
      </c>
      <c r="F21" s="736">
        <f>SUM(F18:F20)</f>
        <v>18751577.432500001</v>
      </c>
    </row>
    <row r="22" spans="1:6" ht="18.75" hidden="1">
      <c r="B22" s="735"/>
      <c r="C22" s="733"/>
      <c r="D22" s="733"/>
      <c r="E22" s="733"/>
      <c r="F22" s="737"/>
    </row>
    <row r="23" spans="1:6" ht="30" hidden="1">
      <c r="B23" s="738" t="s">
        <v>1387</v>
      </c>
      <c r="C23" s="733"/>
      <c r="D23" s="733"/>
      <c r="E23" s="733"/>
      <c r="F23" s="734">
        <f>F21*2.5%</f>
        <v>468789.43581250007</v>
      </c>
    </row>
    <row r="24" spans="1:6" ht="18.75" hidden="1">
      <c r="B24" s="739"/>
      <c r="C24" s="1286" t="s">
        <v>1388</v>
      </c>
      <c r="D24" s="1286"/>
      <c r="E24" s="1286"/>
      <c r="F24" s="740">
        <f>F23+F21</f>
        <v>19220366.8683125</v>
      </c>
    </row>
    <row r="25" spans="1:6" ht="18.75" hidden="1">
      <c r="C25" s="1286" t="s">
        <v>1389</v>
      </c>
      <c r="D25" s="1286"/>
      <c r="E25" s="1286"/>
      <c r="F25" s="451">
        <f>ROUND(F24,-3)</f>
        <v>19220000</v>
      </c>
    </row>
    <row r="26" spans="1:6" hidden="1"/>
    <row r="27" spans="1:6" hidden="1"/>
    <row r="28" spans="1:6" ht="24" hidden="1" customHeight="1">
      <c r="A28" s="1287"/>
      <c r="B28" s="1287"/>
      <c r="C28" s="1287"/>
      <c r="D28" s="1287"/>
      <c r="E28" s="1287"/>
      <c r="F28" s="1287"/>
    </row>
    <row r="29" spans="1:6" hidden="1"/>
    <row r="30" spans="1:6" hidden="1"/>
    <row r="31" spans="1:6" hidden="1"/>
    <row r="32" spans="1:6" hidden="1"/>
    <row r="33" spans="1:14" hidden="1"/>
    <row r="34" spans="1:14" hidden="1"/>
    <row r="35" spans="1:14" hidden="1"/>
    <row r="36" spans="1:14" hidden="1"/>
    <row r="37" spans="1:14" hidden="1"/>
    <row r="38" spans="1:14" ht="21.75">
      <c r="A38" s="1285" t="s">
        <v>1216</v>
      </c>
      <c r="B38" s="1285"/>
      <c r="C38" s="1285"/>
      <c r="D38" s="1285"/>
      <c r="E38" s="1285"/>
      <c r="F38" s="1285"/>
    </row>
    <row r="39" spans="1:14" ht="18.75">
      <c r="A39" s="125"/>
      <c r="B39" s="725" t="s">
        <v>1382</v>
      </c>
      <c r="C39" s="446"/>
      <c r="D39" s="446"/>
      <c r="E39" s="446"/>
      <c r="F39" s="725" t="s">
        <v>1383</v>
      </c>
    </row>
    <row r="40" spans="1:14">
      <c r="A40" s="149"/>
      <c r="B40" s="149"/>
      <c r="C40" s="149"/>
      <c r="D40" s="149"/>
      <c r="E40" s="149"/>
      <c r="F40" s="149"/>
    </row>
    <row r="41" spans="1:14" ht="18.75">
      <c r="A41" s="741" t="s">
        <v>37</v>
      </c>
      <c r="B41" s="742" t="s">
        <v>403</v>
      </c>
      <c r="C41" s="447"/>
      <c r="D41" s="447"/>
      <c r="E41" s="447"/>
      <c r="F41" s="448"/>
    </row>
    <row r="42" spans="1:14" ht="18.75">
      <c r="A42" s="743" t="s">
        <v>424</v>
      </c>
      <c r="B42" s="744" t="s">
        <v>1399</v>
      </c>
      <c r="C42" s="447"/>
      <c r="D42" s="447"/>
      <c r="E42" s="447"/>
      <c r="F42" s="448" t="e">
        <f>'Abst(Admin)'!F116</f>
        <v>#REF!</v>
      </c>
    </row>
    <row r="43" spans="1:14" ht="18.75">
      <c r="A43" s="743" t="s">
        <v>425</v>
      </c>
      <c r="B43" s="744" t="s">
        <v>1401</v>
      </c>
      <c r="C43" s="447"/>
      <c r="D43" s="447"/>
      <c r="E43" s="447"/>
      <c r="F43" s="448">
        <f>'Abs(Hostel)'!F114*2</f>
        <v>48736736</v>
      </c>
    </row>
    <row r="44" spans="1:14" ht="18.75">
      <c r="A44" s="743" t="s">
        <v>1390</v>
      </c>
      <c r="B44" s="744" t="s">
        <v>1400</v>
      </c>
      <c r="C44" s="447"/>
      <c r="D44" s="447"/>
      <c r="E44" s="447"/>
      <c r="F44" s="448" t="e">
        <f>#REF!</f>
        <v>#REF!</v>
      </c>
      <c r="G44" s="478"/>
    </row>
    <row r="45" spans="1:14" ht="18.75">
      <c r="A45" s="745"/>
      <c r="B45" s="746"/>
      <c r="C45" s="447"/>
      <c r="D45" s="447"/>
      <c r="F45" s="731" t="e">
        <f>SUM(F42:F44)</f>
        <v>#REF!</v>
      </c>
    </row>
    <row r="46" spans="1:14" ht="25.5" customHeight="1">
      <c r="A46" s="741" t="s">
        <v>38</v>
      </c>
      <c r="B46" s="742" t="s">
        <v>1391</v>
      </c>
      <c r="C46" s="447"/>
      <c r="D46" s="447"/>
      <c r="E46" s="447"/>
      <c r="F46" s="449"/>
    </row>
    <row r="47" spans="1:14" ht="25.5" customHeight="1">
      <c r="A47" s="743" t="s">
        <v>424</v>
      </c>
      <c r="B47" s="747" t="s">
        <v>1392</v>
      </c>
      <c r="N47">
        <f>72-54</f>
        <v>18</v>
      </c>
    </row>
    <row r="48" spans="1:14" ht="18.75">
      <c r="A48" s="743"/>
      <c r="B48" s="744" t="s">
        <v>1399</v>
      </c>
      <c r="C48" s="447"/>
      <c r="D48" s="447"/>
      <c r="E48" s="447"/>
      <c r="F48" s="448">
        <f>'[7]Academic Block'!$F$98</f>
        <v>1208799</v>
      </c>
    </row>
    <row r="49" spans="1:11" ht="18.75">
      <c r="A49" s="743"/>
      <c r="B49" s="744" t="s">
        <v>1401</v>
      </c>
      <c r="C49" s="447"/>
      <c r="D49" s="447"/>
      <c r="E49" s="447"/>
      <c r="F49" s="448">
        <f>'[7]Hostel Block'!$F$98*2</f>
        <v>2791204</v>
      </c>
    </row>
    <row r="50" spans="1:11" ht="18.75">
      <c r="A50" s="743"/>
      <c r="B50" s="744" t="s">
        <v>1400</v>
      </c>
      <c r="C50" s="447"/>
      <c r="D50" s="447"/>
      <c r="E50" s="447"/>
      <c r="F50" s="748">
        <f>'[7]CCA MATRON'!$F$84</f>
        <v>190485</v>
      </c>
    </row>
    <row r="51" spans="1:11" ht="18.75">
      <c r="A51" s="743"/>
      <c r="B51" s="744"/>
      <c r="C51" s="447"/>
      <c r="D51" s="447"/>
      <c r="E51" s="447"/>
      <c r="F51" s="449">
        <f>SUM(F48:F50)</f>
        <v>4190488</v>
      </c>
    </row>
    <row r="52" spans="1:11" ht="25.5">
      <c r="A52" s="743" t="s">
        <v>425</v>
      </c>
      <c r="B52" s="747" t="s">
        <v>1408</v>
      </c>
      <c r="C52" s="447"/>
      <c r="D52" s="447"/>
      <c r="E52" s="447"/>
      <c r="F52" s="449"/>
      <c r="H52" s="744"/>
    </row>
    <row r="53" spans="1:11" ht="18.75">
      <c r="A53" s="743"/>
      <c r="B53" s="744" t="s">
        <v>1399</v>
      </c>
      <c r="C53" s="447"/>
      <c r="D53" s="447"/>
      <c r="E53" s="447"/>
      <c r="F53" s="448">
        <f>'[8]Academic-Ext.'!$F$35</f>
        <v>1253000</v>
      </c>
      <c r="H53" s="744"/>
    </row>
    <row r="54" spans="1:11" ht="18.75">
      <c r="A54" s="743"/>
      <c r="B54" s="744" t="s">
        <v>1401</v>
      </c>
      <c r="C54" s="447"/>
      <c r="D54" s="447"/>
      <c r="E54" s="447"/>
      <c r="F54" s="448">
        <f>'[8]Hostel Block-Ext.'!$F$35*2</f>
        <v>2365300</v>
      </c>
      <c r="H54" s="744"/>
    </row>
    <row r="55" spans="1:11" ht="18.75">
      <c r="A55" s="743"/>
      <c r="B55" s="744" t="s">
        <v>1400</v>
      </c>
      <c r="C55" s="447"/>
      <c r="D55" s="447"/>
      <c r="E55" s="447"/>
      <c r="F55" s="449">
        <f>'[8]CCA-External'!$F$34</f>
        <v>195852.86000000002</v>
      </c>
    </row>
    <row r="56" spans="1:11" ht="25.5">
      <c r="A56" s="743" t="s">
        <v>1390</v>
      </c>
      <c r="B56" s="747" t="s">
        <v>1408</v>
      </c>
      <c r="C56" s="447"/>
      <c r="D56" s="447"/>
      <c r="E56" s="447"/>
      <c r="F56" s="449">
        <f>'[8]External-Water Supply'!$F$85</f>
        <v>1151500</v>
      </c>
    </row>
    <row r="57" spans="1:11" ht="18.75">
      <c r="A57" s="729"/>
      <c r="B57" s="730"/>
      <c r="C57" s="447"/>
      <c r="D57" s="447"/>
      <c r="E57" s="450"/>
      <c r="F57" s="731">
        <f>SUM(F53:F56)</f>
        <v>4965652.8599999994</v>
      </c>
    </row>
    <row r="58" spans="1:11" ht="14.25" customHeight="1">
      <c r="A58" s="729"/>
      <c r="B58" s="730"/>
      <c r="C58" s="447"/>
      <c r="D58" s="447"/>
      <c r="E58" s="450"/>
      <c r="F58" s="449"/>
    </row>
    <row r="59" spans="1:11" ht="18.75">
      <c r="A59" s="743" t="s">
        <v>1411</v>
      </c>
      <c r="B59" s="730" t="s">
        <v>1412</v>
      </c>
      <c r="C59" s="447"/>
      <c r="D59" s="447"/>
      <c r="E59" s="450"/>
      <c r="F59" s="449">
        <v>225619.7</v>
      </c>
    </row>
    <row r="60" spans="1:11" ht="14.25" customHeight="1">
      <c r="A60" s="729"/>
      <c r="B60" s="730"/>
      <c r="C60" s="447"/>
      <c r="D60" s="447"/>
      <c r="E60" s="450"/>
      <c r="F60" s="449"/>
    </row>
    <row r="61" spans="1:11" ht="18.75">
      <c r="A61" s="729"/>
      <c r="B61" s="730" t="s">
        <v>1393</v>
      </c>
      <c r="C61" s="447"/>
      <c r="D61" s="447"/>
      <c r="E61" s="450"/>
      <c r="F61" s="449">
        <f>F57+F51+F59</f>
        <v>9381760.5599999987</v>
      </c>
      <c r="K61" s="477"/>
    </row>
    <row r="62" spans="1:11" ht="18.75">
      <c r="A62" s="741" t="s">
        <v>39</v>
      </c>
      <c r="B62" s="742" t="s">
        <v>1394</v>
      </c>
      <c r="C62" s="447"/>
      <c r="D62" s="447"/>
      <c r="E62" s="450"/>
      <c r="F62" s="449"/>
    </row>
    <row r="63" spans="1:11" ht="18.75">
      <c r="A63" s="743" t="s">
        <v>424</v>
      </c>
      <c r="B63" s="744" t="s">
        <v>1395</v>
      </c>
      <c r="C63" s="447"/>
      <c r="D63" s="447"/>
      <c r="E63" s="450"/>
      <c r="F63" s="449">
        <f>[9]Summary!$D$10+[10]Summary!$D$10+[11]Summary!$D$10+[12]Summary!$D$10</f>
        <v>4928617</v>
      </c>
    </row>
    <row r="64" spans="1:11" ht="18.75">
      <c r="A64" s="743" t="s">
        <v>425</v>
      </c>
      <c r="B64" s="744" t="s">
        <v>1396</v>
      </c>
      <c r="C64" s="447"/>
      <c r="D64" s="447"/>
      <c r="E64" s="450"/>
      <c r="F64" s="749">
        <f>'[13]area light'!$F$20</f>
        <v>219560</v>
      </c>
    </row>
    <row r="65" spans="1:6" ht="18.75">
      <c r="A65" s="729"/>
      <c r="B65" s="730"/>
      <c r="C65" s="447"/>
      <c r="D65" s="447"/>
      <c r="E65" s="450"/>
      <c r="F65" s="449">
        <f>SUM(F63:F64)</f>
        <v>5148177</v>
      </c>
    </row>
    <row r="66" spans="1:6" ht="18.75">
      <c r="A66" s="729"/>
      <c r="B66" s="730"/>
      <c r="C66" s="447"/>
      <c r="D66" s="447"/>
      <c r="E66" s="450"/>
      <c r="F66" s="449"/>
    </row>
    <row r="67" spans="1:6" ht="18.75">
      <c r="A67" s="741" t="s">
        <v>213</v>
      </c>
      <c r="B67" s="742" t="s">
        <v>1409</v>
      </c>
      <c r="C67" s="447"/>
      <c r="D67" s="447"/>
      <c r="E67" s="450"/>
      <c r="F67" s="449">
        <f>[14]ESTIMATE!$G$36</f>
        <v>1550035.8</v>
      </c>
    </row>
    <row r="68" spans="1:6" ht="18.75">
      <c r="A68" s="729"/>
      <c r="B68" s="730"/>
      <c r="C68" s="447"/>
      <c r="D68" s="447"/>
      <c r="E68" s="450"/>
      <c r="F68" s="449"/>
    </row>
    <row r="69" spans="1:6" ht="18.75">
      <c r="A69" s="729"/>
      <c r="B69" s="730"/>
      <c r="C69" s="447"/>
      <c r="D69" s="447"/>
      <c r="E69" s="450" t="s">
        <v>426</v>
      </c>
      <c r="F69" s="449" t="e">
        <f>F65+F61+F45+F67</f>
        <v>#REF!</v>
      </c>
    </row>
    <row r="70" spans="1:6" ht="18.75">
      <c r="A70" s="741" t="s">
        <v>569</v>
      </c>
      <c r="B70" s="742" t="s">
        <v>1402</v>
      </c>
      <c r="C70" s="447"/>
      <c r="D70" s="447"/>
      <c r="E70" s="450"/>
      <c r="F70" s="449"/>
    </row>
    <row r="71" spans="1:6" s="149" customFormat="1" ht="30" customHeight="1">
      <c r="A71" s="743" t="s">
        <v>424</v>
      </c>
      <c r="B71" s="753" t="s">
        <v>1413</v>
      </c>
      <c r="C71" s="449"/>
      <c r="D71" s="751"/>
      <c r="E71" s="449"/>
      <c r="F71" s="449">
        <f>[15]Estimate!$F$36+'[15]Est. of Drain'!$K$33</f>
        <v>10447976.824874999</v>
      </c>
    </row>
    <row r="72" spans="1:6" s="164" customFormat="1" ht="18.75">
      <c r="A72" s="743" t="s">
        <v>425</v>
      </c>
      <c r="B72" s="744" t="s">
        <v>1410</v>
      </c>
      <c r="C72" s="449"/>
      <c r="D72" s="751"/>
      <c r="E72" s="449"/>
      <c r="F72" s="749">
        <v>1200000</v>
      </c>
    </row>
    <row r="73" spans="1:6" s="164" customFormat="1" ht="18.75">
      <c r="A73" s="743"/>
      <c r="B73" s="744"/>
      <c r="C73" s="449"/>
      <c r="D73" s="751"/>
      <c r="E73" s="449"/>
      <c r="F73" s="449">
        <f>F72+F71</f>
        <v>11647976.824874999</v>
      </c>
    </row>
    <row r="74" spans="1:6" s="149" customFormat="1" ht="18.75">
      <c r="A74" s="729"/>
      <c r="B74" s="730"/>
      <c r="C74" s="447"/>
      <c r="D74" s="447"/>
      <c r="E74" s="750"/>
      <c r="F74" s="449"/>
    </row>
    <row r="75" spans="1:6" s="149" customFormat="1" ht="18.75">
      <c r="A75" s="729"/>
      <c r="B75" s="730"/>
      <c r="C75" s="447"/>
      <c r="D75" s="447"/>
      <c r="E75" s="750" t="s">
        <v>426</v>
      </c>
      <c r="F75" s="449" t="e">
        <f>F69+F73</f>
        <v>#REF!</v>
      </c>
    </row>
    <row r="76" spans="1:6" s="149" customFormat="1" ht="18.75">
      <c r="A76" s="729"/>
      <c r="B76" s="730"/>
      <c r="C76" s="447"/>
      <c r="D76" s="447"/>
      <c r="E76" s="750"/>
      <c r="F76" s="449"/>
    </row>
    <row r="77" spans="1:6" s="149" customFormat="1" ht="18.75">
      <c r="A77" s="729"/>
      <c r="B77" s="727" t="s">
        <v>1403</v>
      </c>
      <c r="C77" s="447"/>
      <c r="D77" s="447"/>
      <c r="E77" s="750"/>
      <c r="F77" s="449" t="e">
        <f>F75*3%</f>
        <v>#REF!</v>
      </c>
    </row>
    <row r="78" spans="1:6" s="149" customFormat="1" ht="18.75">
      <c r="A78" s="729"/>
      <c r="B78" s="727"/>
      <c r="C78" s="447"/>
      <c r="D78" s="447"/>
      <c r="E78" s="750"/>
      <c r="F78" s="449"/>
    </row>
    <row r="79" spans="1:6" s="149" customFormat="1" ht="18.75">
      <c r="A79" s="729"/>
      <c r="B79" s="727" t="s">
        <v>1404</v>
      </c>
      <c r="C79" s="447"/>
      <c r="D79" s="447"/>
      <c r="E79" s="750"/>
      <c r="F79" s="449" t="e">
        <f>F75*1%</f>
        <v>#REF!</v>
      </c>
    </row>
    <row r="80" spans="1:6" s="149" customFormat="1" ht="18.75">
      <c r="A80" s="729"/>
      <c r="B80" s="727"/>
      <c r="C80" s="447"/>
      <c r="D80" s="447"/>
      <c r="E80" s="750"/>
      <c r="F80" s="449"/>
    </row>
    <row r="81" spans="1:6" s="149" customFormat="1" ht="18.75">
      <c r="A81" s="729"/>
      <c r="B81" s="727"/>
      <c r="C81" s="447"/>
      <c r="D81" s="447"/>
      <c r="E81" s="750" t="s">
        <v>426</v>
      </c>
      <c r="F81" s="449" t="e">
        <f>F75+F77+F79</f>
        <v>#REF!</v>
      </c>
    </row>
    <row r="82" spans="1:6" s="149" customFormat="1" ht="18.75">
      <c r="A82" s="729"/>
      <c r="B82" s="727"/>
      <c r="C82" s="447"/>
      <c r="D82" s="447"/>
      <c r="E82" s="750"/>
      <c r="F82" s="449"/>
    </row>
    <row r="83" spans="1:6" s="149" customFormat="1" ht="18.75">
      <c r="B83" s="727" t="s">
        <v>1405</v>
      </c>
      <c r="C83" s="733"/>
      <c r="D83" s="733"/>
      <c r="E83" s="733"/>
      <c r="F83" s="451" t="e">
        <f>F81*5.8%</f>
        <v>#REF!</v>
      </c>
    </row>
    <row r="84" spans="1:6" s="149" customFormat="1" ht="18.75">
      <c r="B84" s="735"/>
      <c r="C84" s="733"/>
      <c r="D84" s="733"/>
      <c r="E84" s="750"/>
      <c r="F84" s="451"/>
    </row>
    <row r="85" spans="1:6" s="149" customFormat="1" ht="18.75">
      <c r="B85" s="727" t="s">
        <v>1406</v>
      </c>
      <c r="C85" s="733"/>
      <c r="D85" s="733"/>
      <c r="E85" s="750"/>
      <c r="F85" s="451" t="e">
        <f>F81*8%</f>
        <v>#REF!</v>
      </c>
    </row>
    <row r="86" spans="1:6" s="149" customFormat="1" ht="18.75">
      <c r="B86" s="735"/>
      <c r="C86" s="733"/>
      <c r="D86" s="733"/>
      <c r="E86" s="750"/>
      <c r="F86" s="451"/>
    </row>
    <row r="87" spans="1:6" s="149" customFormat="1" ht="28.5">
      <c r="B87" s="452" t="s">
        <v>1407</v>
      </c>
      <c r="C87" s="733"/>
      <c r="D87" s="733"/>
      <c r="E87" s="750"/>
      <c r="F87" s="734" t="e">
        <f>F85*14.5%</f>
        <v>#REF!</v>
      </c>
    </row>
    <row r="88" spans="1:6" s="149" customFormat="1" ht="32.25" customHeight="1">
      <c r="C88" s="1288" t="s">
        <v>1397</v>
      </c>
      <c r="D88" s="1288"/>
      <c r="E88" s="1288"/>
      <c r="F88" s="451" t="e">
        <f>F87+F85+F83+F81</f>
        <v>#REF!</v>
      </c>
    </row>
    <row r="89" spans="1:6" s="149" customFormat="1" ht="18.75">
      <c r="B89" s="735"/>
      <c r="C89" s="1284" t="s">
        <v>1398</v>
      </c>
      <c r="D89" s="1284"/>
      <c r="E89" s="1284"/>
      <c r="F89" s="451" t="e">
        <f>ROUND(F88,-2)</f>
        <v>#REF!</v>
      </c>
    </row>
    <row r="90" spans="1:6" s="149" customFormat="1" ht="18.75">
      <c r="C90" s="1284"/>
      <c r="D90" s="1284"/>
      <c r="E90" s="1284"/>
      <c r="F90" s="740"/>
    </row>
    <row r="91" spans="1:6" s="149" customFormat="1"/>
    <row r="92" spans="1:6" s="149" customFormat="1" ht="18.75">
      <c r="F92" s="451"/>
    </row>
    <row r="93" spans="1:6" s="149" customFormat="1" ht="15.75">
      <c r="A93" s="1223"/>
      <c r="B93" s="1223"/>
      <c r="C93" s="1223"/>
      <c r="D93" s="1223"/>
      <c r="E93" s="1223"/>
      <c r="F93" s="1223"/>
    </row>
    <row r="94" spans="1:6" s="149" customFormat="1"/>
  </sheetData>
  <mergeCells count="9">
    <mergeCell ref="C89:E89"/>
    <mergeCell ref="C90:E90"/>
    <mergeCell ref="A93:F93"/>
    <mergeCell ref="A9:F9"/>
    <mergeCell ref="C24:E24"/>
    <mergeCell ref="C25:E25"/>
    <mergeCell ref="A28:F28"/>
    <mergeCell ref="A38:F38"/>
    <mergeCell ref="C88:E88"/>
  </mergeCells>
  <printOptions horizontalCentered="1"/>
  <pageMargins left="0.70866141732283472" right="0.70866141732283472" top="0.74803149606299213" bottom="0.74803149606299213" header="0.31496062992125984" footer="0.31496062992125984"/>
  <pageSetup paperSize="9" scale="73"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75" workbookViewId="0">
      <selection activeCell="Q35" sqref="Q35"/>
    </sheetView>
  </sheetViews>
  <sheetFormatPr defaultRowHeight="12.75"/>
  <cols>
    <col min="1" max="1" width="9.140625" style="861"/>
    <col min="2" max="2" width="39.5703125" style="861" customWidth="1"/>
    <col min="3" max="5" width="9.140625" style="861"/>
    <col min="6" max="6" width="14" style="861" customWidth="1"/>
    <col min="7" max="16384" width="9.140625" style="861"/>
  </cols>
  <sheetData>
    <row r="1" spans="1:6" ht="51" customHeight="1">
      <c r="A1" s="1289" t="s">
        <v>1428</v>
      </c>
      <c r="B1" s="1289"/>
      <c r="C1" s="1289"/>
      <c r="D1" s="1289"/>
      <c r="E1" s="1289"/>
      <c r="F1" s="1289"/>
    </row>
    <row r="2" spans="1:6" ht="16.5">
      <c r="A2" s="847"/>
      <c r="B2" s="847"/>
      <c r="C2" s="847"/>
      <c r="D2" s="847"/>
      <c r="E2" s="847"/>
      <c r="F2" s="847"/>
    </row>
    <row r="3" spans="1:6" ht="76.5">
      <c r="A3" s="770">
        <v>1</v>
      </c>
      <c r="B3" s="848" t="s">
        <v>427</v>
      </c>
      <c r="C3" s="862">
        <f>'p. qtr(qty)'!G12</f>
        <v>82.939724999999996</v>
      </c>
      <c r="D3" s="860" t="s">
        <v>25</v>
      </c>
      <c r="E3" s="863">
        <f>ANALYSIS!F16</f>
        <v>89.2</v>
      </c>
      <c r="F3" s="862">
        <f>E3*C3</f>
        <v>7398.2234699999999</v>
      </c>
    </row>
    <row r="4" spans="1:6">
      <c r="A4" s="770"/>
      <c r="B4" s="848"/>
      <c r="C4" s="862"/>
      <c r="D4" s="860"/>
      <c r="E4" s="863"/>
      <c r="F4" s="862"/>
    </row>
    <row r="5" spans="1:6" ht="127.5">
      <c r="A5" s="851">
        <v>2</v>
      </c>
      <c r="B5" s="852" t="s">
        <v>405</v>
      </c>
      <c r="C5" s="863">
        <f>'p. qtr(qty)'!G27</f>
        <v>32.326466699999997</v>
      </c>
      <c r="D5" s="860" t="s">
        <v>25</v>
      </c>
      <c r="E5" s="863">
        <f>ANALYSIS!F45</f>
        <v>275.60000000000002</v>
      </c>
      <c r="F5" s="862">
        <f>E5*C5</f>
        <v>8909.1742225199996</v>
      </c>
    </row>
    <row r="6" spans="1:6">
      <c r="A6" s="851"/>
      <c r="B6" s="852"/>
      <c r="C6" s="863"/>
      <c r="D6" s="860"/>
      <c r="E6" s="863"/>
      <c r="F6" s="862"/>
    </row>
    <row r="7" spans="1:6" ht="25.5">
      <c r="A7" s="851">
        <v>3</v>
      </c>
      <c r="B7" s="864" t="s">
        <v>428</v>
      </c>
      <c r="C7" s="863">
        <f>C3/3</f>
        <v>27.646574999999999</v>
      </c>
      <c r="D7" s="860" t="s">
        <v>25</v>
      </c>
      <c r="E7" s="863">
        <f>(E3*2)/3</f>
        <v>59.466666666666669</v>
      </c>
      <c r="F7" s="862">
        <f>E7*C7</f>
        <v>1644.0496599999999</v>
      </c>
    </row>
    <row r="8" spans="1:6">
      <c r="A8" s="851"/>
      <c r="B8" s="864"/>
      <c r="C8" s="863"/>
      <c r="D8" s="860"/>
      <c r="E8" s="863"/>
      <c r="F8" s="862"/>
    </row>
    <row r="9" spans="1:6" ht="76.5">
      <c r="A9" s="851">
        <v>4</v>
      </c>
      <c r="B9" s="852" t="s">
        <v>406</v>
      </c>
      <c r="C9" s="863">
        <f>'p. qtr(qty)'!G43</f>
        <v>17.994568900000001</v>
      </c>
      <c r="D9" s="860" t="s">
        <v>25</v>
      </c>
      <c r="E9" s="863">
        <f>ANALYSIS!F127</f>
        <v>4044.7</v>
      </c>
      <c r="F9" s="862">
        <f>E9*C9</f>
        <v>72782.632829830007</v>
      </c>
    </row>
    <row r="10" spans="1:6">
      <c r="A10" s="853"/>
      <c r="B10" s="854"/>
      <c r="C10" s="865"/>
      <c r="D10" s="865"/>
      <c r="E10" s="860"/>
      <c r="F10" s="862"/>
    </row>
    <row r="11" spans="1:6" ht="229.5">
      <c r="A11" s="856">
        <v>5</v>
      </c>
      <c r="B11" s="866" t="s">
        <v>1245</v>
      </c>
      <c r="C11" s="863">
        <f>'p. qtr(qty)'!G157</f>
        <v>11.735460000000002</v>
      </c>
      <c r="D11" s="860" t="s">
        <v>25</v>
      </c>
      <c r="E11" s="863">
        <f>ANALYSIS!F172</f>
        <v>4226.8999999999996</v>
      </c>
      <c r="F11" s="862">
        <f>E11*C11</f>
        <v>49604.615874000003</v>
      </c>
    </row>
    <row r="12" spans="1:6">
      <c r="A12" s="853"/>
      <c r="B12" s="854"/>
      <c r="C12" s="865"/>
      <c r="D12" s="865"/>
      <c r="E12" s="860"/>
      <c r="F12" s="862"/>
    </row>
    <row r="13" spans="1:6" ht="63.75">
      <c r="A13" s="851">
        <v>6</v>
      </c>
      <c r="B13" s="857" t="s">
        <v>485</v>
      </c>
      <c r="C13" s="867"/>
      <c r="D13" s="867"/>
      <c r="E13" s="860"/>
      <c r="F13" s="425"/>
    </row>
    <row r="14" spans="1:6">
      <c r="A14" s="851"/>
      <c r="B14" s="857"/>
      <c r="C14" s="867"/>
      <c r="D14" s="867"/>
      <c r="E14" s="860"/>
      <c r="F14" s="425"/>
    </row>
    <row r="15" spans="1:6">
      <c r="A15" s="851" t="s">
        <v>424</v>
      </c>
      <c r="B15" s="858" t="s">
        <v>486</v>
      </c>
      <c r="C15" s="863"/>
      <c r="D15" s="860"/>
      <c r="E15" s="860"/>
      <c r="F15" s="425"/>
    </row>
    <row r="16" spans="1:6">
      <c r="A16" s="851"/>
      <c r="B16" s="857" t="s">
        <v>1249</v>
      </c>
      <c r="C16" s="863">
        <f>'p. qtr(qty)'!G51+'p. qtr(qty)'!G56</f>
        <v>11.08085</v>
      </c>
      <c r="D16" s="860" t="s">
        <v>25</v>
      </c>
      <c r="E16" s="863">
        <f>ANALYSIS!F412</f>
        <v>5475.0535757248017</v>
      </c>
      <c r="F16" s="425">
        <f>E16*C16</f>
        <v>60668.247414570171</v>
      </c>
    </row>
    <row r="17" spans="1:6">
      <c r="A17" s="851"/>
      <c r="B17" s="868" t="s">
        <v>1246</v>
      </c>
      <c r="C17" s="863">
        <f>'p. qtr(qty)'!G61</f>
        <v>1.0725</v>
      </c>
      <c r="D17" s="860" t="s">
        <v>25</v>
      </c>
      <c r="E17" s="863">
        <f>ANALYSIS!F412</f>
        <v>5475.0535757248017</v>
      </c>
      <c r="F17" s="425">
        <f>E17*C17</f>
        <v>5871.9949599648498</v>
      </c>
    </row>
    <row r="18" spans="1:6">
      <c r="A18" s="851"/>
      <c r="B18" s="857" t="s">
        <v>594</v>
      </c>
      <c r="C18" s="863">
        <f>'p. qtr(qty)'!G75</f>
        <v>5.5322025000000004</v>
      </c>
      <c r="D18" s="860" t="s">
        <v>25</v>
      </c>
      <c r="E18" s="863">
        <f>ANALYSIS!F429</f>
        <v>5873.1</v>
      </c>
      <c r="F18" s="425">
        <f>E18*C18</f>
        <v>32491.178502750005</v>
      </c>
    </row>
    <row r="19" spans="1:6">
      <c r="A19" s="851"/>
      <c r="B19" s="857"/>
      <c r="C19" s="863"/>
      <c r="D19" s="860"/>
      <c r="E19" s="863"/>
      <c r="F19" s="425"/>
    </row>
    <row r="20" spans="1:6">
      <c r="A20" s="851" t="s">
        <v>425</v>
      </c>
      <c r="B20" s="858" t="s">
        <v>489</v>
      </c>
      <c r="C20" s="863"/>
      <c r="D20" s="860"/>
      <c r="E20" s="860"/>
      <c r="F20" s="425"/>
    </row>
    <row r="21" spans="1:6">
      <c r="A21" s="851"/>
      <c r="B21" s="858" t="s">
        <v>490</v>
      </c>
      <c r="C21" s="863"/>
      <c r="D21" s="860"/>
      <c r="E21" s="860"/>
      <c r="F21" s="425"/>
    </row>
    <row r="22" spans="1:6">
      <c r="A22" s="851"/>
      <c r="B22" s="857"/>
      <c r="C22" s="863">
        <f>'p. qtr(qty)'!G82</f>
        <v>4.29</v>
      </c>
      <c r="D22" s="860" t="s">
        <v>25</v>
      </c>
      <c r="E22" s="863">
        <f>ANALYSIS!F485</f>
        <v>9005.4</v>
      </c>
      <c r="F22" s="425">
        <f>E22*C22</f>
        <v>38633.165999999997</v>
      </c>
    </row>
    <row r="23" spans="1:6">
      <c r="A23" s="851"/>
      <c r="B23" s="858" t="s">
        <v>460</v>
      </c>
      <c r="C23" s="863"/>
      <c r="D23" s="860"/>
      <c r="E23" s="860"/>
      <c r="F23" s="425"/>
    </row>
    <row r="24" spans="1:6">
      <c r="A24" s="851"/>
      <c r="B24" s="857"/>
      <c r="C24" s="863">
        <f>'p. qtr(qty)'!G97</f>
        <v>5.071185625</v>
      </c>
      <c r="D24" s="860" t="s">
        <v>25</v>
      </c>
      <c r="E24" s="863">
        <f>E22</f>
        <v>9005.4</v>
      </c>
      <c r="F24" s="425">
        <f>E24*C24</f>
        <v>45668.055027374998</v>
      </c>
    </row>
    <row r="25" spans="1:6">
      <c r="A25" s="851"/>
      <c r="B25" s="858" t="s">
        <v>651</v>
      </c>
      <c r="C25" s="863"/>
      <c r="D25" s="860"/>
      <c r="E25" s="860"/>
      <c r="F25" s="425"/>
    </row>
    <row r="26" spans="1:6">
      <c r="A26" s="851"/>
      <c r="B26" s="857"/>
      <c r="C26" s="863">
        <f>'p. qtr(qty)'!G126</f>
        <v>1.0812656249999999</v>
      </c>
      <c r="D26" s="860" t="s">
        <v>25</v>
      </c>
      <c r="E26" s="863">
        <f>ANALYSIS!F448</f>
        <v>8513.4</v>
      </c>
      <c r="F26" s="425">
        <f>E26*C26</f>
        <v>9205.2467718749995</v>
      </c>
    </row>
    <row r="27" spans="1:6">
      <c r="A27" s="851"/>
      <c r="B27" s="858" t="s">
        <v>974</v>
      </c>
      <c r="C27" s="863"/>
      <c r="D27" s="860"/>
      <c r="E27" s="860"/>
      <c r="F27" s="425"/>
    </row>
    <row r="28" spans="1:6">
      <c r="A28" s="851"/>
      <c r="B28" s="857"/>
      <c r="C28" s="863">
        <f>'p. qtr(qty)'!G108</f>
        <v>12.250442875000001</v>
      </c>
      <c r="D28" s="860" t="s">
        <v>25</v>
      </c>
      <c r="E28" s="863">
        <f>ANALYSIS!F372</f>
        <v>8872</v>
      </c>
      <c r="F28" s="425">
        <f>E28*C28</f>
        <v>108685.929187</v>
      </c>
    </row>
    <row r="29" spans="1:6">
      <c r="A29" s="851"/>
      <c r="B29" s="858" t="s">
        <v>975</v>
      </c>
      <c r="C29" s="863"/>
      <c r="D29" s="860"/>
      <c r="E29" s="860"/>
      <c r="F29" s="425"/>
    </row>
    <row r="30" spans="1:6">
      <c r="A30" s="851"/>
      <c r="B30" s="857"/>
      <c r="C30" s="863">
        <f>'p. qtr(qty)'!G135</f>
        <v>7.4051999999999989</v>
      </c>
      <c r="D30" s="860" t="s">
        <v>32</v>
      </c>
      <c r="E30" s="863">
        <f>ANALYSIS!F524</f>
        <v>700.3</v>
      </c>
      <c r="F30" s="425">
        <f>E30*C30</f>
        <v>5185.8615599999985</v>
      </c>
    </row>
    <row r="31" spans="1:6">
      <c r="A31" s="851"/>
      <c r="B31" s="857"/>
      <c r="C31" s="863"/>
      <c r="D31" s="860"/>
      <c r="E31" s="860"/>
      <c r="F31" s="425"/>
    </row>
    <row r="32" spans="1:6" ht="63.75">
      <c r="A32" s="851">
        <v>7</v>
      </c>
      <c r="B32" s="857" t="s">
        <v>976</v>
      </c>
      <c r="C32" s="865"/>
      <c r="D32" s="865"/>
      <c r="E32" s="865"/>
      <c r="F32" s="865"/>
    </row>
    <row r="33" spans="1:6">
      <c r="A33" s="851"/>
      <c r="B33" s="857"/>
      <c r="C33" s="863">
        <f>'p. qtr(qty)'!E149</f>
        <v>51.921763904999999</v>
      </c>
      <c r="D33" s="860" t="s">
        <v>127</v>
      </c>
      <c r="E33" s="863">
        <f>ANALYSIS!F585</f>
        <v>5484.2</v>
      </c>
      <c r="F33" s="425">
        <f>E33*C33</f>
        <v>284749.33760780096</v>
      </c>
    </row>
    <row r="34" spans="1:6">
      <c r="A34" s="851"/>
      <c r="B34" s="857"/>
      <c r="C34" s="865"/>
      <c r="D34" s="865"/>
      <c r="E34" s="860"/>
      <c r="F34" s="869"/>
    </row>
    <row r="35" spans="1:6" ht="191.25">
      <c r="A35" s="851">
        <v>8</v>
      </c>
      <c r="B35" s="852" t="s">
        <v>1247</v>
      </c>
      <c r="C35" s="860"/>
      <c r="D35" s="860"/>
      <c r="E35" s="860"/>
      <c r="F35" s="425"/>
    </row>
    <row r="36" spans="1:6">
      <c r="A36" s="851"/>
      <c r="B36" s="857"/>
      <c r="C36" s="863">
        <f>'p. qtr(qty)'!G224</f>
        <v>40.290064374999986</v>
      </c>
      <c r="D36" s="860" t="s">
        <v>25</v>
      </c>
      <c r="E36" s="863">
        <f>ANALYSIS!F175</f>
        <v>4260.3</v>
      </c>
      <c r="F36" s="425">
        <f>E36*C36</f>
        <v>171647.76125681246</v>
      </c>
    </row>
    <row r="37" spans="1:6" ht="178.5">
      <c r="A37" s="851">
        <v>9</v>
      </c>
      <c r="B37" s="859" t="s">
        <v>983</v>
      </c>
      <c r="C37" s="863"/>
      <c r="D37" s="860"/>
      <c r="E37" s="863"/>
      <c r="F37" s="862"/>
    </row>
    <row r="38" spans="1:6">
      <c r="A38" s="851"/>
      <c r="B38" s="857"/>
      <c r="C38" s="863">
        <f>'p. qtr(qty)'!G298</f>
        <v>217.65892499999995</v>
      </c>
      <c r="D38" s="860" t="s">
        <v>32</v>
      </c>
      <c r="E38" s="863">
        <f>ANALYSIS!F648</f>
        <v>131.9</v>
      </c>
      <c r="F38" s="862">
        <f>E38*C38</f>
        <v>28709.212207499993</v>
      </c>
    </row>
    <row r="39" spans="1:6">
      <c r="A39" s="851"/>
      <c r="B39" s="857"/>
      <c r="C39" s="863"/>
      <c r="D39" s="860"/>
      <c r="E39" s="863"/>
      <c r="F39" s="862"/>
    </row>
    <row r="40" spans="1:6" ht="178.5">
      <c r="A40" s="851">
        <v>10</v>
      </c>
      <c r="B40" s="857" t="s">
        <v>984</v>
      </c>
      <c r="C40" s="869"/>
      <c r="D40" s="865"/>
      <c r="E40" s="860"/>
      <c r="F40" s="862"/>
    </row>
    <row r="41" spans="1:6">
      <c r="A41" s="851"/>
      <c r="B41" s="852" t="s">
        <v>1051</v>
      </c>
      <c r="C41" s="863">
        <f>'p. qtr(qty)'!G339</f>
        <v>176.31542499999998</v>
      </c>
      <c r="D41" s="860" t="s">
        <v>32</v>
      </c>
      <c r="E41" s="863">
        <f>ANALYSIS!F679</f>
        <v>138.30000000000001</v>
      </c>
      <c r="F41" s="862">
        <f>E41*C41</f>
        <v>24384.423277499998</v>
      </c>
    </row>
    <row r="42" spans="1:6">
      <c r="A42" s="851"/>
      <c r="B42" s="852"/>
      <c r="C42" s="863"/>
      <c r="D42" s="860"/>
      <c r="E42" s="860"/>
      <c r="F42" s="862"/>
    </row>
    <row r="43" spans="1:6" ht="204">
      <c r="A43" s="851">
        <v>11</v>
      </c>
      <c r="B43" s="857" t="s">
        <v>985</v>
      </c>
      <c r="C43" s="863"/>
      <c r="D43" s="860"/>
      <c r="E43" s="860"/>
      <c r="F43" s="862"/>
    </row>
    <row r="44" spans="1:6">
      <c r="A44" s="851"/>
      <c r="B44" s="852" t="s">
        <v>1051</v>
      </c>
      <c r="C44" s="863">
        <f>'p. qtr(qty)'!G359</f>
        <v>91.259107500000013</v>
      </c>
      <c r="D44" s="860" t="s">
        <v>32</v>
      </c>
      <c r="E44" s="863">
        <f>ANALYSIS!F618</f>
        <v>109.2</v>
      </c>
      <c r="F44" s="862">
        <f>E44*C44</f>
        <v>9965.4945390000012</v>
      </c>
    </row>
    <row r="45" spans="1:6">
      <c r="A45" s="851"/>
      <c r="B45" s="852"/>
      <c r="C45" s="863"/>
      <c r="D45" s="860"/>
      <c r="E45" s="863"/>
      <c r="F45" s="862"/>
    </row>
    <row r="46" spans="1:6" ht="63.75">
      <c r="A46" s="851">
        <v>12</v>
      </c>
      <c r="B46" s="857" t="s">
        <v>1045</v>
      </c>
      <c r="C46" s="863">
        <f>'p. qtr(qty)'!G370</f>
        <v>98.003543000000008</v>
      </c>
      <c r="D46" s="860" t="s">
        <v>32</v>
      </c>
      <c r="E46" s="863">
        <f>ANALYSIS!F854</f>
        <v>240.83788854999997</v>
      </c>
      <c r="F46" s="862">
        <f>E46*C46</f>
        <v>23602.966366539131</v>
      </c>
    </row>
    <row r="47" spans="1:6">
      <c r="A47" s="851"/>
      <c r="B47" s="870"/>
      <c r="C47" s="863"/>
      <c r="D47" s="860"/>
      <c r="E47" s="863"/>
      <c r="F47" s="862"/>
    </row>
    <row r="48" spans="1:6" ht="76.5">
      <c r="A48" s="851">
        <v>13</v>
      </c>
      <c r="B48" s="857" t="s">
        <v>1054</v>
      </c>
      <c r="C48" s="863">
        <f>'p. qtr(qty)'!G377</f>
        <v>485.23345749999999</v>
      </c>
      <c r="D48" s="860" t="s">
        <v>32</v>
      </c>
      <c r="E48" s="863">
        <f>(ANALYSIS!F753+ANALYSIS!F758)/2</f>
        <v>154.9</v>
      </c>
      <c r="F48" s="862">
        <f>E48*C48</f>
        <v>75162.662566750005</v>
      </c>
    </row>
    <row r="49" spans="1:6">
      <c r="A49" s="851"/>
      <c r="B49" s="852"/>
      <c r="C49" s="865"/>
      <c r="D49" s="865"/>
      <c r="E49" s="860"/>
      <c r="F49" s="865"/>
    </row>
    <row r="50" spans="1:6" ht="153">
      <c r="A50" s="851">
        <v>14</v>
      </c>
      <c r="B50" s="857" t="s">
        <v>1057</v>
      </c>
      <c r="C50" s="869">
        <f>'p. qtr(qty)'!G381</f>
        <v>176.31542499999998</v>
      </c>
      <c r="D50" s="860" t="s">
        <v>32</v>
      </c>
      <c r="E50" s="863">
        <f>(ANALYSIS!F1334+ANALYSIS!F1341)/2</f>
        <v>94.730930107526873</v>
      </c>
      <c r="F50" s="862">
        <f>E50*C50</f>
        <v>16702.524202553894</v>
      </c>
    </row>
    <row r="51" spans="1:6">
      <c r="A51" s="851"/>
      <c r="B51" s="852"/>
      <c r="C51" s="865"/>
      <c r="D51" s="865"/>
      <c r="E51" s="860"/>
      <c r="F51" s="865"/>
    </row>
    <row r="52" spans="1:6" ht="148.5">
      <c r="A52" s="851">
        <v>15</v>
      </c>
      <c r="B52" s="852" t="s">
        <v>1248</v>
      </c>
      <c r="C52" s="863"/>
      <c r="D52" s="860"/>
      <c r="E52" s="860"/>
      <c r="F52" s="862"/>
    </row>
    <row r="53" spans="1:6">
      <c r="A53" s="851"/>
      <c r="B53" s="852" t="s">
        <v>1051</v>
      </c>
      <c r="C53" s="863">
        <f>'p. qtr(qty)'!G240</f>
        <v>50.935499999999998</v>
      </c>
      <c r="D53" s="860" t="s">
        <v>32</v>
      </c>
      <c r="E53" s="863">
        <f>ANALYSIS!F909</f>
        <v>680.3</v>
      </c>
      <c r="F53" s="862">
        <f>E53*C53</f>
        <v>34651.420649999993</v>
      </c>
    </row>
    <row r="54" spans="1:6">
      <c r="A54" s="851"/>
      <c r="B54" s="852"/>
      <c r="C54" s="863"/>
      <c r="D54" s="860"/>
      <c r="E54" s="863"/>
      <c r="F54" s="862"/>
    </row>
    <row r="55" spans="1:6" ht="76.5">
      <c r="A55" s="851">
        <v>16</v>
      </c>
      <c r="B55" s="852" t="s">
        <v>160</v>
      </c>
      <c r="C55" s="863"/>
      <c r="D55" s="860"/>
      <c r="E55" s="863"/>
      <c r="F55" s="862"/>
    </row>
    <row r="56" spans="1:6">
      <c r="A56" s="851"/>
      <c r="B56" s="852" t="s">
        <v>1051</v>
      </c>
      <c r="C56" s="863">
        <f>'p. qtr(qty)'!G246</f>
        <v>7.5295000000000005</v>
      </c>
      <c r="D56" s="860" t="s">
        <v>32</v>
      </c>
      <c r="E56" s="863">
        <f>ANALYSIS!F877</f>
        <v>763.4</v>
      </c>
      <c r="F56" s="862">
        <f>E56*C56</f>
        <v>5748.0203000000001</v>
      </c>
    </row>
    <row r="57" spans="1:6">
      <c r="A57" s="851"/>
      <c r="B57" s="852"/>
      <c r="C57" s="863"/>
      <c r="D57" s="860"/>
      <c r="E57" s="863"/>
      <c r="F57" s="862"/>
    </row>
    <row r="58" spans="1:6" ht="102">
      <c r="A58" s="851">
        <v>17</v>
      </c>
      <c r="B58" s="852" t="s">
        <v>1312</v>
      </c>
      <c r="C58" s="871"/>
      <c r="D58" s="865"/>
      <c r="E58" s="863"/>
      <c r="F58" s="862"/>
    </row>
    <row r="59" spans="1:6">
      <c r="A59" s="851"/>
      <c r="B59" s="852" t="s">
        <v>1051</v>
      </c>
      <c r="C59" s="862">
        <f>'p. qtr(qty)'!G258</f>
        <v>73.325065000000009</v>
      </c>
      <c r="D59" s="860" t="s">
        <v>32</v>
      </c>
      <c r="E59" s="863">
        <f>ANALYSIS!G1486</f>
        <v>365.4</v>
      </c>
      <c r="F59" s="862">
        <f>E59*C59</f>
        <v>26792.978751000002</v>
      </c>
    </row>
    <row r="60" spans="1:6">
      <c r="A60" s="851"/>
      <c r="B60" s="852"/>
      <c r="C60" s="863"/>
      <c r="D60" s="860"/>
      <c r="E60" s="863"/>
      <c r="F60" s="862"/>
    </row>
    <row r="61" spans="1:6" ht="153">
      <c r="A61" s="851">
        <v>18</v>
      </c>
      <c r="B61" s="857" t="s">
        <v>1055</v>
      </c>
      <c r="C61" s="863">
        <f>'p. qtr(qty)'!G429</f>
        <v>117.17639999999999</v>
      </c>
      <c r="D61" s="860" t="s">
        <v>447</v>
      </c>
      <c r="E61" s="863">
        <f>ANALYSIS!F777</f>
        <v>71.099999999999994</v>
      </c>
      <c r="F61" s="862">
        <f>E61*C61</f>
        <v>8331.2420399999992</v>
      </c>
    </row>
    <row r="62" spans="1:6">
      <c r="A62" s="851"/>
      <c r="B62" s="852"/>
      <c r="C62" s="872"/>
      <c r="D62" s="860"/>
      <c r="E62" s="863"/>
      <c r="F62" s="862"/>
    </row>
    <row r="63" spans="1:6" ht="114.75">
      <c r="A63" s="851">
        <v>19</v>
      </c>
      <c r="B63" s="873" t="s">
        <v>981</v>
      </c>
      <c r="C63" s="863">
        <f>'p. qtr(qty)'!G389</f>
        <v>4.0391999999999992</v>
      </c>
      <c r="D63" s="860" t="s">
        <v>447</v>
      </c>
      <c r="E63" s="863">
        <f>ANALYSIS!F1191</f>
        <v>437</v>
      </c>
      <c r="F63" s="862">
        <f>E63*C63</f>
        <v>1765.1303999999996</v>
      </c>
    </row>
    <row r="64" spans="1:6">
      <c r="A64" s="851"/>
      <c r="B64" s="873"/>
      <c r="C64" s="863"/>
      <c r="D64" s="860"/>
      <c r="E64" s="863"/>
      <c r="F64" s="862"/>
    </row>
    <row r="65" spans="1:6">
      <c r="A65" s="851"/>
      <c r="B65" s="854"/>
      <c r="C65" s="865"/>
      <c r="D65" s="865"/>
      <c r="E65" s="865"/>
      <c r="F65" s="865"/>
    </row>
    <row r="66" spans="1:6" ht="153">
      <c r="A66" s="851">
        <v>20</v>
      </c>
      <c r="B66" s="857" t="s">
        <v>1056</v>
      </c>
      <c r="C66" s="863">
        <f>'p. qtr(qty)'!G434</f>
        <v>3.9599999999999995</v>
      </c>
      <c r="D66" s="860" t="s">
        <v>32</v>
      </c>
      <c r="E66" s="863">
        <f>(ANALYSIS!F1215+ANALYSIS!F1220)/2</f>
        <v>127.8</v>
      </c>
      <c r="F66" s="862">
        <f>E66*C66</f>
        <v>506.08799999999991</v>
      </c>
    </row>
    <row r="67" spans="1:6">
      <c r="A67" s="851"/>
      <c r="B67" s="857"/>
      <c r="C67" s="863"/>
      <c r="D67" s="860"/>
      <c r="E67" s="863"/>
      <c r="F67" s="862"/>
    </row>
    <row r="68" spans="1:6" ht="63.75">
      <c r="A68" s="851">
        <v>21</v>
      </c>
      <c r="B68" s="857" t="s">
        <v>1253</v>
      </c>
      <c r="C68" s="863">
        <f>'p. qtr(qty)'!G403</f>
        <v>0.2112</v>
      </c>
      <c r="D68" s="860" t="s">
        <v>25</v>
      </c>
      <c r="E68" s="869">
        <v>68202.92</v>
      </c>
      <c r="F68" s="862">
        <f>E68*C68</f>
        <v>14404.456704</v>
      </c>
    </row>
    <row r="69" spans="1:6">
      <c r="A69" s="851"/>
      <c r="B69" s="852"/>
      <c r="C69" s="865"/>
      <c r="D69" s="865"/>
      <c r="E69" s="865"/>
      <c r="F69" s="865"/>
    </row>
    <row r="70" spans="1:6" ht="165.75">
      <c r="A70" s="851">
        <v>22</v>
      </c>
      <c r="B70" s="3" t="s">
        <v>1484</v>
      </c>
      <c r="C70" s="869">
        <f>'p. qtr(qty)'!G397</f>
        <v>10.625999999999999</v>
      </c>
      <c r="D70" s="860" t="s">
        <v>836</v>
      </c>
      <c r="E70" s="863">
        <f>ANALYSIS!F1383</f>
        <v>5509</v>
      </c>
      <c r="F70" s="862">
        <f>E70*C70</f>
        <v>58538.633999999998</v>
      </c>
    </row>
    <row r="71" spans="1:6">
      <c r="A71" s="851"/>
      <c r="B71" s="874"/>
      <c r="C71" s="869"/>
      <c r="D71" s="869"/>
      <c r="E71" s="875"/>
      <c r="F71" s="862"/>
    </row>
    <row r="72" spans="1:6" ht="293.25" customHeight="1">
      <c r="A72" s="851">
        <v>23</v>
      </c>
      <c r="B72" s="857" t="s">
        <v>650</v>
      </c>
      <c r="C72" s="425">
        <f>'p. qtr(qty)'!G409</f>
        <v>5.1975000000000007</v>
      </c>
      <c r="D72" s="425" t="s">
        <v>350</v>
      </c>
      <c r="E72" s="425">
        <v>2503</v>
      </c>
      <c r="F72" s="862">
        <f>E72*C72</f>
        <v>13009.342500000002</v>
      </c>
    </row>
    <row r="73" spans="1:6">
      <c r="A73" s="851"/>
      <c r="B73" s="857"/>
      <c r="C73" s="869"/>
      <c r="D73" s="860"/>
      <c r="E73" s="875"/>
      <c r="F73" s="862"/>
    </row>
    <row r="74" spans="1:6" ht="216.75">
      <c r="A74" s="851">
        <v>24</v>
      </c>
      <c r="B74" s="859" t="s">
        <v>649</v>
      </c>
      <c r="C74" s="863">
        <f>'p. qtr(qty)'!G413</f>
        <v>16.335000000000001</v>
      </c>
      <c r="D74" s="860" t="s">
        <v>434</v>
      </c>
      <c r="E74" s="863">
        <v>339.5</v>
      </c>
      <c r="F74" s="862">
        <f>E74*C74</f>
        <v>5545.7325000000001</v>
      </c>
    </row>
    <row r="75" spans="1:6">
      <c r="A75" s="851"/>
      <c r="B75" s="857"/>
      <c r="C75" s="869"/>
      <c r="D75" s="869"/>
      <c r="E75" s="876"/>
      <c r="F75" s="862"/>
    </row>
    <row r="76" spans="1:6" ht="127.5">
      <c r="A76" s="851">
        <v>25</v>
      </c>
      <c r="B76" s="859" t="s">
        <v>1058</v>
      </c>
      <c r="C76" s="863">
        <f>'p. qtr(qty)'!G421</f>
        <v>10.560000000000002</v>
      </c>
      <c r="D76" s="860" t="s">
        <v>434</v>
      </c>
      <c r="E76" s="425">
        <v>3500</v>
      </c>
      <c r="F76" s="862">
        <f>E76*C76</f>
        <v>36960.000000000007</v>
      </c>
    </row>
    <row r="77" spans="1:6">
      <c r="A77" s="851"/>
      <c r="B77" s="859"/>
      <c r="C77" s="863"/>
      <c r="D77" s="860"/>
      <c r="E77" s="863"/>
      <c r="F77" s="862"/>
    </row>
    <row r="78" spans="1:6">
      <c r="A78" s="853"/>
      <c r="B78" s="854"/>
      <c r="C78" s="869"/>
      <c r="D78" s="865"/>
      <c r="E78" s="877" t="s">
        <v>117</v>
      </c>
      <c r="F78" s="878">
        <f>SUM(F3:F77)</f>
        <v>1287925.8033493413</v>
      </c>
    </row>
    <row r="79" spans="1:6">
      <c r="A79" s="853"/>
      <c r="B79" s="854"/>
      <c r="C79" s="865"/>
      <c r="D79" s="865"/>
      <c r="E79" s="860" t="s">
        <v>120</v>
      </c>
      <c r="F79" s="879">
        <f>ROUND(F78,0)</f>
        <v>1287926</v>
      </c>
    </row>
  </sheetData>
  <mergeCells count="1">
    <mergeCell ref="A1:F1"/>
  </mergeCells>
  <pageMargins left="0.45" right="0.45" top="1" bottom="0.75" header="0.3" footer="0.3"/>
  <pageSetup paperSize="9" orientation="portrait" verticalDpi="0" r:id="rId1"/>
  <headerFooter>
    <oddHeader>&amp;C&amp;"Arial,Bold"&amp;12PROJECT:-&amp;"Arial,Regular"
PROPOSED CONSTRUCTION OF EMRS (Ekalavya Model Residential School)
 AT BIKRAMPUR, DIST:-RAYAGADA, ODISHA.</oddHeader>
    <oddFooter>&amp;L&amp;"Arial,Bold"&amp;11HSCL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4"/>
  <sheetViews>
    <sheetView zoomScaleSheetLayoutView="100" workbookViewId="0">
      <selection activeCell="G10" sqref="G10"/>
    </sheetView>
  </sheetViews>
  <sheetFormatPr defaultRowHeight="12.75"/>
  <cols>
    <col min="1" max="1" width="11.42578125" style="861" customWidth="1"/>
    <col min="2" max="2" width="19.140625" style="861" customWidth="1"/>
    <col min="3" max="3" width="10.85546875" style="909" customWidth="1"/>
    <col min="4" max="4" width="10" style="910" customWidth="1"/>
    <col min="5" max="5" width="9.5703125" style="861" bestFit="1" customWidth="1"/>
    <col min="6" max="6" width="9.140625" style="861"/>
    <col min="7" max="8" width="10.42578125" style="861" customWidth="1"/>
    <col min="9" max="16384" width="9.140625" style="861"/>
  </cols>
  <sheetData>
    <row r="1" spans="1:8" ht="48" customHeight="1">
      <c r="A1" s="1290" t="s">
        <v>1429</v>
      </c>
      <c r="B1" s="1290"/>
      <c r="C1" s="1290"/>
      <c r="D1" s="1290"/>
      <c r="E1" s="1290"/>
      <c r="F1" s="1290"/>
      <c r="G1" s="1290"/>
      <c r="H1" s="1290"/>
    </row>
    <row r="2" spans="1:8" ht="18">
      <c r="A2" s="1291" t="s">
        <v>1217</v>
      </c>
      <c r="B2" s="1291"/>
      <c r="C2" s="1291"/>
      <c r="D2" s="1291"/>
      <c r="E2" s="1291"/>
      <c r="F2" s="1291"/>
      <c r="G2" s="1291"/>
      <c r="H2" s="1291"/>
    </row>
    <row r="3" spans="1:8" ht="18">
      <c r="A3" s="880"/>
      <c r="B3" s="880"/>
      <c r="C3" s="881"/>
      <c r="D3" s="880"/>
      <c r="E3" s="880"/>
      <c r="F3" s="880"/>
      <c r="G3" s="880"/>
      <c r="H3" s="880"/>
    </row>
    <row r="4" spans="1:8">
      <c r="A4" s="561" t="s">
        <v>172</v>
      </c>
      <c r="B4" s="561" t="s">
        <v>1157</v>
      </c>
      <c r="C4" s="561" t="s">
        <v>62</v>
      </c>
      <c r="D4" s="882" t="s">
        <v>1218</v>
      </c>
      <c r="E4" s="561" t="s">
        <v>38</v>
      </c>
      <c r="F4" s="561" t="s">
        <v>570</v>
      </c>
      <c r="G4" s="882" t="s">
        <v>1158</v>
      </c>
      <c r="H4" s="882" t="s">
        <v>21</v>
      </c>
    </row>
    <row r="5" spans="1:8">
      <c r="A5" s="561"/>
      <c r="B5" s="561"/>
      <c r="C5" s="561"/>
      <c r="D5" s="882"/>
      <c r="E5" s="561"/>
      <c r="F5" s="561"/>
      <c r="G5" s="562"/>
      <c r="H5" s="883"/>
    </row>
    <row r="6" spans="1:8">
      <c r="A6" s="161">
        <v>1</v>
      </c>
      <c r="B6" s="884" t="s">
        <v>1219</v>
      </c>
      <c r="C6" s="849"/>
      <c r="D6" s="860"/>
      <c r="E6" s="849"/>
      <c r="F6" s="849"/>
      <c r="G6" s="885"/>
      <c r="H6" s="886"/>
    </row>
    <row r="7" spans="1:8" ht="15">
      <c r="A7" s="161"/>
      <c r="B7" s="887" t="s">
        <v>1299</v>
      </c>
      <c r="C7" s="888">
        <v>10</v>
      </c>
      <c r="D7" s="889">
        <v>1.65</v>
      </c>
      <c r="E7" s="890">
        <v>1.65</v>
      </c>
      <c r="F7" s="890">
        <f>5*0.3</f>
        <v>1.5</v>
      </c>
      <c r="G7" s="863">
        <f>F7*E7*D7*C7</f>
        <v>40.837499999999991</v>
      </c>
      <c r="H7" s="886"/>
    </row>
    <row r="8" spans="1:8" ht="15">
      <c r="A8" s="161"/>
      <c r="B8" s="887" t="s">
        <v>1300</v>
      </c>
      <c r="C8" s="888">
        <v>3</v>
      </c>
      <c r="D8" s="889">
        <v>1.6</v>
      </c>
      <c r="E8" s="890">
        <v>1.6</v>
      </c>
      <c r="F8" s="890">
        <f>5*0.3</f>
        <v>1.5</v>
      </c>
      <c r="G8" s="863">
        <f>F8*E8*D8*C8</f>
        <v>11.520000000000003</v>
      </c>
      <c r="H8" s="886"/>
    </row>
    <row r="9" spans="1:8" ht="15">
      <c r="A9" s="161"/>
      <c r="B9" s="891" t="s">
        <v>1241</v>
      </c>
      <c r="C9" s="849">
        <v>1</v>
      </c>
      <c r="D9" s="863">
        <f>9.905+3.205+1.5+5.455+4.01+1.28+3.045+1.28+4.35+1.575+0.6+5.83+0.6+1.255</f>
        <v>43.890000000000008</v>
      </c>
      <c r="E9" s="889">
        <v>0.7</v>
      </c>
      <c r="F9" s="889">
        <v>0.75</v>
      </c>
      <c r="G9" s="889">
        <f>F9*E9*D9*C9</f>
        <v>23.042249999999999</v>
      </c>
      <c r="H9" s="892"/>
    </row>
    <row r="10" spans="1:8" ht="15">
      <c r="A10" s="161"/>
      <c r="B10" s="855"/>
      <c r="C10" s="849"/>
      <c r="D10" s="863"/>
      <c r="E10" s="889"/>
      <c r="F10" s="889"/>
      <c r="G10" s="893">
        <f>SUM(G7:G9)</f>
        <v>75.399749999999997</v>
      </c>
      <c r="H10" s="892"/>
    </row>
    <row r="11" spans="1:8" ht="15">
      <c r="A11" s="161"/>
      <c r="B11" s="855"/>
      <c r="C11" s="849"/>
      <c r="D11" s="863"/>
      <c r="E11" s="889"/>
      <c r="F11" s="889"/>
      <c r="G11" s="889">
        <f>G10*10%</f>
        <v>7.5399750000000001</v>
      </c>
      <c r="H11" s="892"/>
    </row>
    <row r="12" spans="1:8">
      <c r="A12" s="161"/>
      <c r="B12" s="884"/>
      <c r="C12" s="849"/>
      <c r="D12" s="860"/>
      <c r="E12" s="849"/>
      <c r="F12" s="849"/>
      <c r="G12" s="894">
        <f>G10+G11</f>
        <v>82.939724999999996</v>
      </c>
      <c r="H12" s="895" t="s">
        <v>25</v>
      </c>
    </row>
    <row r="13" spans="1:8" ht="15.75">
      <c r="A13" s="161">
        <v>2</v>
      </c>
      <c r="B13" s="896" t="s">
        <v>600</v>
      </c>
      <c r="C13" s="897"/>
      <c r="D13" s="898"/>
      <c r="E13" s="899"/>
      <c r="F13" s="886"/>
      <c r="G13" s="886"/>
      <c r="H13" s="900"/>
    </row>
    <row r="14" spans="1:8" ht="15.75">
      <c r="A14" s="901"/>
      <c r="B14" s="902" t="s">
        <v>1242</v>
      </c>
      <c r="C14" s="849"/>
      <c r="D14" s="889"/>
      <c r="E14" s="890"/>
      <c r="F14" s="890"/>
      <c r="G14" s="903"/>
      <c r="H14" s="904"/>
    </row>
    <row r="15" spans="1:8" ht="15">
      <c r="A15" s="901"/>
      <c r="B15" s="887" t="s">
        <v>1299</v>
      </c>
      <c r="C15" s="888">
        <v>10</v>
      </c>
      <c r="D15" s="863">
        <v>1.65</v>
      </c>
      <c r="E15" s="890">
        <v>1.65</v>
      </c>
      <c r="F15" s="890">
        <v>0.15</v>
      </c>
      <c r="G15" s="863">
        <f>F15*E15*D15*C15</f>
        <v>4.0837499999999993</v>
      </c>
      <c r="H15" s="904"/>
    </row>
    <row r="16" spans="1:8" ht="15">
      <c r="A16" s="901"/>
      <c r="B16" s="887" t="s">
        <v>1300</v>
      </c>
      <c r="C16" s="888">
        <v>3</v>
      </c>
      <c r="D16" s="863">
        <v>1.6</v>
      </c>
      <c r="E16" s="890">
        <v>1.6</v>
      </c>
      <c r="F16" s="890">
        <v>0.15</v>
      </c>
      <c r="G16" s="863">
        <f>F16*E16*D16*C16</f>
        <v>1.1520000000000001</v>
      </c>
      <c r="H16" s="904"/>
    </row>
    <row r="17" spans="1:8">
      <c r="A17" s="901"/>
      <c r="B17" s="891" t="s">
        <v>1241</v>
      </c>
      <c r="C17" s="849">
        <v>1</v>
      </c>
      <c r="D17" s="863">
        <f>9.905+3.205+1.5+5.455+4.01+1.28+3.045+1.28+4.35+1.575+0.6+5.83+0.6+1.255</f>
        <v>43.890000000000008</v>
      </c>
      <c r="E17" s="889">
        <v>0.7</v>
      </c>
      <c r="F17" s="889">
        <v>0.15</v>
      </c>
      <c r="G17" s="889">
        <f>F17*E17*D17*C17</f>
        <v>4.6084500000000004</v>
      </c>
      <c r="H17" s="904"/>
    </row>
    <row r="18" spans="1:8">
      <c r="A18" s="901"/>
      <c r="B18" s="891" t="s">
        <v>1430</v>
      </c>
      <c r="C18" s="849">
        <v>1</v>
      </c>
      <c r="D18" s="863">
        <v>3.5</v>
      </c>
      <c r="E18" s="889">
        <v>3.45</v>
      </c>
      <c r="F18" s="889">
        <v>0.3</v>
      </c>
      <c r="G18" s="863">
        <f>F18*E18*D18*C18</f>
        <v>3.6224999999999996</v>
      </c>
      <c r="H18" s="904"/>
    </row>
    <row r="19" spans="1:8">
      <c r="A19" s="901"/>
      <c r="B19" s="891"/>
      <c r="C19" s="849">
        <v>1</v>
      </c>
      <c r="D19" s="863">
        <v>2.895</v>
      </c>
      <c r="E19" s="889">
        <v>3.9129999999999998</v>
      </c>
      <c r="F19" s="889">
        <v>0.3</v>
      </c>
      <c r="G19" s="863">
        <f t="shared" ref="G19:G24" si="0">F19*E19*D19*C19</f>
        <v>3.3984405</v>
      </c>
      <c r="H19" s="904"/>
    </row>
    <row r="20" spans="1:8">
      <c r="A20" s="901"/>
      <c r="B20" s="891"/>
      <c r="C20" s="849">
        <v>1</v>
      </c>
      <c r="D20" s="863">
        <v>3.66</v>
      </c>
      <c r="E20" s="889">
        <v>3.5880000000000001</v>
      </c>
      <c r="F20" s="889">
        <v>0.3</v>
      </c>
      <c r="G20" s="863">
        <f t="shared" si="0"/>
        <v>3.9396240000000002</v>
      </c>
      <c r="H20" s="904"/>
    </row>
    <row r="21" spans="1:8">
      <c r="A21" s="901"/>
      <c r="B21" s="891"/>
      <c r="C21" s="849">
        <v>1</v>
      </c>
      <c r="D21" s="863">
        <v>3.55</v>
      </c>
      <c r="E21" s="889">
        <v>2.9550000000000001</v>
      </c>
      <c r="F21" s="889">
        <v>0.3</v>
      </c>
      <c r="G21" s="863">
        <f t="shared" si="0"/>
        <v>3.1470749999999996</v>
      </c>
      <c r="H21" s="904"/>
    </row>
    <row r="22" spans="1:8">
      <c r="A22" s="901"/>
      <c r="B22" s="891"/>
      <c r="C22" s="849">
        <v>1</v>
      </c>
      <c r="D22" s="863">
        <v>2.895</v>
      </c>
      <c r="E22" s="889">
        <v>2.9550000000000001</v>
      </c>
      <c r="F22" s="889">
        <v>0.3</v>
      </c>
      <c r="G22" s="863">
        <f t="shared" si="0"/>
        <v>2.5664175</v>
      </c>
      <c r="H22" s="904"/>
    </row>
    <row r="23" spans="1:8">
      <c r="A23" s="901"/>
      <c r="B23" s="891"/>
      <c r="C23" s="849">
        <v>1</v>
      </c>
      <c r="D23" s="863">
        <v>2.16</v>
      </c>
      <c r="E23" s="889">
        <v>2.9550000000000001</v>
      </c>
      <c r="F23" s="889">
        <v>0.3</v>
      </c>
      <c r="G23" s="863">
        <f t="shared" si="0"/>
        <v>1.9148400000000001</v>
      </c>
      <c r="H23" s="904"/>
    </row>
    <row r="24" spans="1:8">
      <c r="A24" s="901"/>
      <c r="B24" s="891"/>
      <c r="C24" s="849">
        <v>1</v>
      </c>
      <c r="D24" s="863">
        <v>2.15</v>
      </c>
      <c r="E24" s="889">
        <v>1.48</v>
      </c>
      <c r="F24" s="889">
        <v>0.3</v>
      </c>
      <c r="G24" s="863">
        <f t="shared" si="0"/>
        <v>0.9546</v>
      </c>
      <c r="H24" s="904"/>
    </row>
    <row r="25" spans="1:8">
      <c r="A25" s="901"/>
      <c r="B25" s="905"/>
      <c r="C25" s="888"/>
      <c r="D25" s="906"/>
      <c r="E25" s="907"/>
      <c r="F25" s="889"/>
      <c r="G25" s="889">
        <f>SUM(G15:G24)</f>
        <v>29.387696999999999</v>
      </c>
      <c r="H25" s="904"/>
    </row>
    <row r="26" spans="1:8">
      <c r="A26" s="901"/>
      <c r="B26" s="905"/>
      <c r="C26" s="888"/>
      <c r="D26" s="906"/>
      <c r="E26" s="907"/>
      <c r="F26" s="889"/>
      <c r="G26" s="889">
        <f>G25*10%</f>
        <v>2.9387696999999999</v>
      </c>
      <c r="H26" s="904"/>
    </row>
    <row r="27" spans="1:8" ht="15">
      <c r="A27" s="161"/>
      <c r="B27" s="887"/>
      <c r="C27" s="899"/>
      <c r="D27" s="898"/>
      <c r="E27" s="899"/>
      <c r="F27" s="899"/>
      <c r="G27" s="894">
        <f>G26+G25</f>
        <v>32.326466699999997</v>
      </c>
      <c r="H27" s="895" t="s">
        <v>25</v>
      </c>
    </row>
    <row r="28" spans="1:8" ht="15.75">
      <c r="A28" s="161">
        <v>3</v>
      </c>
      <c r="B28" s="896" t="s">
        <v>601</v>
      </c>
      <c r="C28" s="899"/>
      <c r="D28" s="898"/>
      <c r="E28" s="899"/>
      <c r="F28" s="899"/>
      <c r="G28" s="908"/>
      <c r="H28" s="900"/>
    </row>
    <row r="29" spans="1:8" ht="15.75">
      <c r="A29" s="161"/>
      <c r="B29" s="902" t="s">
        <v>1242</v>
      </c>
      <c r="C29" s="849"/>
      <c r="D29" s="889"/>
      <c r="E29" s="890"/>
      <c r="F29" s="890"/>
      <c r="G29" s="903"/>
      <c r="H29" s="900"/>
    </row>
    <row r="30" spans="1:8" ht="15">
      <c r="A30" s="161"/>
      <c r="B30" s="887" t="s">
        <v>1299</v>
      </c>
      <c r="C30" s="888">
        <v>10</v>
      </c>
      <c r="D30" s="863">
        <v>1.65</v>
      </c>
      <c r="E30" s="890">
        <v>1.65</v>
      </c>
      <c r="F30" s="890">
        <v>0.15</v>
      </c>
      <c r="G30" s="863">
        <f>F30*E30*D30*C30</f>
        <v>4.0837499999999993</v>
      </c>
      <c r="H30" s="900"/>
    </row>
    <row r="31" spans="1:8" ht="15">
      <c r="A31" s="161"/>
      <c r="B31" s="887" t="s">
        <v>1300</v>
      </c>
      <c r="C31" s="888">
        <v>3</v>
      </c>
      <c r="D31" s="863">
        <v>1.6</v>
      </c>
      <c r="E31" s="890">
        <v>1.6</v>
      </c>
      <c r="F31" s="890">
        <v>0.15</v>
      </c>
      <c r="G31" s="863">
        <f>F31*E31*D31*C31</f>
        <v>1.1520000000000001</v>
      </c>
      <c r="H31" s="900"/>
    </row>
    <row r="32" spans="1:8">
      <c r="A32" s="161"/>
      <c r="B32" s="891" t="s">
        <v>1241</v>
      </c>
      <c r="C32" s="849">
        <v>1</v>
      </c>
      <c r="D32" s="863">
        <f>9.905+3.205+1.5+5.455+4.01+1.28+3.045+1.28+4.35+1.575+0.6+5.83+0.6+1.255</f>
        <v>43.890000000000008</v>
      </c>
      <c r="E32" s="889">
        <v>0.7</v>
      </c>
      <c r="F32" s="889">
        <v>0.15</v>
      </c>
      <c r="G32" s="889">
        <f>F32*E32*D32*C32</f>
        <v>4.6084500000000004</v>
      </c>
      <c r="H32" s="900"/>
    </row>
    <row r="33" spans="1:8">
      <c r="A33" s="161"/>
      <c r="B33" s="891" t="s">
        <v>1430</v>
      </c>
      <c r="H33" s="900"/>
    </row>
    <row r="34" spans="1:8">
      <c r="A34" s="161"/>
      <c r="B34" s="891"/>
      <c r="C34" s="849">
        <v>1</v>
      </c>
      <c r="D34" s="863">
        <v>3.5</v>
      </c>
      <c r="E34" s="889">
        <v>3.45</v>
      </c>
      <c r="F34" s="889">
        <v>0.1</v>
      </c>
      <c r="G34" s="863">
        <f>F34*E34*D34*C34</f>
        <v>1.2075</v>
      </c>
      <c r="H34" s="900"/>
    </row>
    <row r="35" spans="1:8">
      <c r="A35" s="161"/>
      <c r="B35" s="891"/>
      <c r="C35" s="849">
        <v>1</v>
      </c>
      <c r="D35" s="863">
        <v>2.895</v>
      </c>
      <c r="E35" s="889">
        <v>3.9129999999999998</v>
      </c>
      <c r="F35" s="889">
        <v>0.1</v>
      </c>
      <c r="G35" s="863">
        <f t="shared" ref="G35:G40" si="1">F35*E35*D35*C35</f>
        <v>1.1328134999999999</v>
      </c>
      <c r="H35" s="900"/>
    </row>
    <row r="36" spans="1:8">
      <c r="A36" s="161"/>
      <c r="B36" s="891"/>
      <c r="C36" s="849">
        <v>1</v>
      </c>
      <c r="D36" s="863">
        <v>3.66</v>
      </c>
      <c r="E36" s="889">
        <v>3.5880000000000001</v>
      </c>
      <c r="F36" s="889">
        <v>0.1</v>
      </c>
      <c r="G36" s="863">
        <f t="shared" si="1"/>
        <v>1.3132080000000002</v>
      </c>
      <c r="H36" s="900"/>
    </row>
    <row r="37" spans="1:8">
      <c r="A37" s="161"/>
      <c r="B37" s="891"/>
      <c r="C37" s="849">
        <v>1</v>
      </c>
      <c r="D37" s="863">
        <v>3.55</v>
      </c>
      <c r="E37" s="889">
        <v>2.9550000000000001</v>
      </c>
      <c r="F37" s="889">
        <v>0.1</v>
      </c>
      <c r="G37" s="863">
        <f t="shared" si="1"/>
        <v>1.0490250000000001</v>
      </c>
      <c r="H37" s="900"/>
    </row>
    <row r="38" spans="1:8">
      <c r="A38" s="161"/>
      <c r="B38" s="891"/>
      <c r="C38" s="849">
        <v>1</v>
      </c>
      <c r="D38" s="863">
        <v>2.895</v>
      </c>
      <c r="E38" s="889">
        <v>2.9550000000000001</v>
      </c>
      <c r="F38" s="889">
        <v>0.1</v>
      </c>
      <c r="G38" s="863">
        <f t="shared" si="1"/>
        <v>0.85547250000000008</v>
      </c>
      <c r="H38" s="900"/>
    </row>
    <row r="39" spans="1:8">
      <c r="A39" s="161"/>
      <c r="B39" s="891"/>
      <c r="C39" s="849">
        <v>1</v>
      </c>
      <c r="D39" s="863">
        <v>2.16</v>
      </c>
      <c r="E39" s="889">
        <v>2.9550000000000001</v>
      </c>
      <c r="F39" s="889">
        <v>0.1</v>
      </c>
      <c r="G39" s="863">
        <f t="shared" si="1"/>
        <v>0.63828000000000018</v>
      </c>
      <c r="H39" s="900"/>
    </row>
    <row r="40" spans="1:8">
      <c r="A40" s="161"/>
      <c r="B40" s="891"/>
      <c r="C40" s="849">
        <v>1</v>
      </c>
      <c r="D40" s="863">
        <v>2.15</v>
      </c>
      <c r="E40" s="889">
        <v>1.48</v>
      </c>
      <c r="F40" s="889">
        <v>0.1</v>
      </c>
      <c r="G40" s="863">
        <f t="shared" si="1"/>
        <v>0.31819999999999998</v>
      </c>
      <c r="H40" s="900"/>
    </row>
    <row r="41" spans="1:8">
      <c r="A41" s="161"/>
      <c r="B41" s="905"/>
      <c r="C41" s="888"/>
      <c r="D41" s="906"/>
      <c r="E41" s="907"/>
      <c r="F41" s="890"/>
      <c r="G41" s="889">
        <f>SUM(G30:G40)</f>
        <v>16.358699000000001</v>
      </c>
      <c r="H41" s="900"/>
    </row>
    <row r="42" spans="1:8">
      <c r="A42" s="161"/>
      <c r="B42" s="905"/>
      <c r="C42" s="888"/>
      <c r="D42" s="906"/>
      <c r="E42" s="907"/>
      <c r="F42" s="890"/>
      <c r="G42" s="889">
        <f>G41*10%</f>
        <v>1.6358699000000003</v>
      </c>
      <c r="H42" s="904"/>
    </row>
    <row r="43" spans="1:8" ht="15">
      <c r="A43" s="161"/>
      <c r="B43" s="911"/>
      <c r="C43" s="912"/>
      <c r="D43" s="860"/>
      <c r="E43" s="849"/>
      <c r="F43" s="849"/>
      <c r="G43" s="894">
        <f>G42+G41</f>
        <v>17.994568900000001</v>
      </c>
      <c r="H43" s="895" t="s">
        <v>25</v>
      </c>
    </row>
    <row r="44" spans="1:8" ht="15">
      <c r="A44" s="161">
        <v>4</v>
      </c>
      <c r="B44" s="913" t="s">
        <v>1159</v>
      </c>
      <c r="C44" s="899"/>
      <c r="D44" s="898"/>
      <c r="E44" s="899"/>
      <c r="F44" s="899"/>
      <c r="G44" s="908"/>
      <c r="H44" s="900"/>
    </row>
    <row r="45" spans="1:8" ht="15">
      <c r="A45" s="161" t="s">
        <v>424</v>
      </c>
      <c r="B45" s="914" t="s">
        <v>486</v>
      </c>
      <c r="C45" s="899"/>
      <c r="D45" s="898"/>
      <c r="E45" s="899"/>
      <c r="F45" s="899"/>
      <c r="G45" s="908"/>
      <c r="H45" s="900"/>
    </row>
    <row r="46" spans="1:8" ht="15">
      <c r="A46" s="161" t="s">
        <v>475</v>
      </c>
      <c r="B46" s="911" t="s">
        <v>1243</v>
      </c>
      <c r="C46" s="899"/>
      <c r="D46" s="898"/>
      <c r="E46" s="886"/>
      <c r="F46" s="886"/>
      <c r="G46" s="886"/>
      <c r="H46" s="900"/>
    </row>
    <row r="47" spans="1:8" ht="15">
      <c r="A47" s="161"/>
      <c r="B47" s="887" t="s">
        <v>1299</v>
      </c>
      <c r="C47" s="888">
        <v>10</v>
      </c>
      <c r="D47" s="889">
        <v>1.45</v>
      </c>
      <c r="E47" s="890">
        <v>1.45</v>
      </c>
      <c r="F47" s="890">
        <v>0.3</v>
      </c>
      <c r="G47" s="863">
        <f>F47*E47*D47*C47</f>
        <v>6.3075000000000001</v>
      </c>
      <c r="H47" s="898"/>
    </row>
    <row r="48" spans="1:8" ht="15">
      <c r="A48" s="161"/>
      <c r="B48" s="887" t="s">
        <v>1300</v>
      </c>
      <c r="C48" s="888">
        <v>3</v>
      </c>
      <c r="D48" s="889">
        <v>1.4</v>
      </c>
      <c r="E48" s="890">
        <v>1.4</v>
      </c>
      <c r="F48" s="890">
        <v>0.3</v>
      </c>
      <c r="G48" s="863">
        <f>F48*E48*D48*C48</f>
        <v>1.7639999999999998</v>
      </c>
      <c r="H48" s="898"/>
    </row>
    <row r="49" spans="1:8" ht="15">
      <c r="A49" s="161"/>
      <c r="B49" s="887"/>
      <c r="C49" s="888"/>
      <c r="D49" s="915"/>
      <c r="E49" s="916"/>
      <c r="F49" s="890"/>
      <c r="G49" s="863">
        <f>SUM(G47:G48)</f>
        <v>8.0715000000000003</v>
      </c>
      <c r="H49" s="898"/>
    </row>
    <row r="50" spans="1:8" ht="15">
      <c r="A50" s="161"/>
      <c r="B50" s="887"/>
      <c r="C50" s="888"/>
      <c r="D50" s="915"/>
      <c r="E50" s="916"/>
      <c r="F50" s="890"/>
      <c r="G50" s="889">
        <f>G49*10%</f>
        <v>0.80715000000000003</v>
      </c>
      <c r="H50" s="917"/>
    </row>
    <row r="51" spans="1:8" ht="15">
      <c r="A51" s="161"/>
      <c r="B51" s="911"/>
      <c r="C51" s="912"/>
      <c r="D51" s="889"/>
      <c r="E51" s="890"/>
      <c r="F51" s="890"/>
      <c r="G51" s="894">
        <f>G50+G49</f>
        <v>8.8786500000000004</v>
      </c>
      <c r="H51" s="918" t="s">
        <v>25</v>
      </c>
    </row>
    <row r="52" spans="1:8" ht="15">
      <c r="A52" s="161" t="s">
        <v>476</v>
      </c>
      <c r="B52" s="919" t="s">
        <v>1244</v>
      </c>
      <c r="C52" s="849"/>
      <c r="D52" s="860"/>
      <c r="E52" s="849"/>
      <c r="F52" s="849"/>
      <c r="G52" s="920"/>
      <c r="H52" s="900"/>
    </row>
    <row r="53" spans="1:8" ht="15">
      <c r="A53" s="161"/>
      <c r="B53" s="921" t="s">
        <v>608</v>
      </c>
      <c r="C53" s="912">
        <v>13</v>
      </c>
      <c r="D53" s="922">
        <f>0.25+0.3</f>
        <v>0.55000000000000004</v>
      </c>
      <c r="E53" s="849">
        <v>0.7</v>
      </c>
      <c r="F53" s="849">
        <v>0.4</v>
      </c>
      <c r="G53" s="863">
        <f>F53*E53*D53*C53</f>
        <v>2.0019999999999998</v>
      </c>
      <c r="H53" s="898"/>
    </row>
    <row r="54" spans="1:8" ht="15">
      <c r="A54" s="161"/>
      <c r="B54" s="921"/>
      <c r="C54" s="912"/>
      <c r="D54" s="922"/>
      <c r="E54" s="849"/>
      <c r="F54" s="849"/>
      <c r="G54" s="863">
        <f>SUM(G53:G53)</f>
        <v>2.0019999999999998</v>
      </c>
      <c r="H54" s="898"/>
    </row>
    <row r="55" spans="1:8" ht="15">
      <c r="A55" s="161"/>
      <c r="B55" s="921"/>
      <c r="C55" s="912"/>
      <c r="D55" s="922"/>
      <c r="E55" s="849"/>
      <c r="F55" s="849"/>
      <c r="G55" s="889">
        <f>G54*10%</f>
        <v>0.20019999999999999</v>
      </c>
      <c r="H55" s="917"/>
    </row>
    <row r="56" spans="1:8" ht="15">
      <c r="A56" s="161"/>
      <c r="B56" s="887"/>
      <c r="C56" s="899"/>
      <c r="D56" s="898"/>
      <c r="E56" s="899"/>
      <c r="F56" s="899"/>
      <c r="G56" s="894">
        <f>G55+G54</f>
        <v>2.2021999999999999</v>
      </c>
      <c r="H56" s="918" t="s">
        <v>25</v>
      </c>
    </row>
    <row r="57" spans="1:8" ht="15">
      <c r="A57" s="161" t="s">
        <v>477</v>
      </c>
      <c r="B57" s="919" t="s">
        <v>1221</v>
      </c>
      <c r="C57" s="923"/>
      <c r="D57" s="924"/>
      <c r="E57" s="899"/>
      <c r="F57" s="899"/>
      <c r="G57" s="908"/>
      <c r="H57" s="886"/>
    </row>
    <row r="58" spans="1:8" ht="15">
      <c r="A58" s="161"/>
      <c r="B58" s="921" t="s">
        <v>608</v>
      </c>
      <c r="C58" s="912">
        <v>13</v>
      </c>
      <c r="D58" s="922">
        <v>0.25</v>
      </c>
      <c r="E58" s="849">
        <v>0.4</v>
      </c>
      <c r="F58" s="849">
        <v>0.75</v>
      </c>
      <c r="G58" s="863">
        <f>F58*E58*D58*C58</f>
        <v>0.97500000000000009</v>
      </c>
      <c r="H58" s="886"/>
    </row>
    <row r="59" spans="1:8" ht="15">
      <c r="A59" s="161"/>
      <c r="B59" s="921"/>
      <c r="C59" s="912"/>
      <c r="D59" s="922"/>
      <c r="E59" s="849"/>
      <c r="F59" s="849"/>
      <c r="G59" s="863">
        <f>SUM(G58:G58)</f>
        <v>0.97500000000000009</v>
      </c>
      <c r="H59" s="886"/>
    </row>
    <row r="60" spans="1:8" ht="15">
      <c r="A60" s="161"/>
      <c r="B60" s="921"/>
      <c r="C60" s="912"/>
      <c r="D60" s="922"/>
      <c r="E60" s="849"/>
      <c r="F60" s="849"/>
      <c r="G60" s="889">
        <f>G59*10%</f>
        <v>9.7500000000000017E-2</v>
      </c>
      <c r="H60" s="904"/>
    </row>
    <row r="61" spans="1:8">
      <c r="A61" s="161"/>
      <c r="B61" s="855"/>
      <c r="C61" s="899"/>
      <c r="D61" s="898"/>
      <c r="E61" s="898"/>
      <c r="F61" s="898"/>
      <c r="G61" s="894">
        <f>G60+G59</f>
        <v>1.0725</v>
      </c>
      <c r="H61" s="895" t="s">
        <v>25</v>
      </c>
    </row>
    <row r="62" spans="1:8" ht="15">
      <c r="A62" s="161" t="s">
        <v>478</v>
      </c>
      <c r="B62" s="911" t="s">
        <v>624</v>
      </c>
      <c r="C62" s="909">
        <v>1</v>
      </c>
      <c r="D62" s="910">
        <v>4</v>
      </c>
      <c r="E62" s="910">
        <v>0.25</v>
      </c>
      <c r="F62" s="910">
        <v>0.3</v>
      </c>
      <c r="G62" s="925">
        <f t="shared" ref="G62:G72" si="2">F62*E62*D62*C62</f>
        <v>0.3</v>
      </c>
      <c r="H62" s="926"/>
    </row>
    <row r="63" spans="1:8" ht="15">
      <c r="A63" s="161"/>
      <c r="B63" s="911"/>
      <c r="C63" s="899">
        <v>1</v>
      </c>
      <c r="D63" s="927">
        <v>2.895</v>
      </c>
      <c r="E63" s="906">
        <v>0.25</v>
      </c>
      <c r="F63" s="910">
        <v>0.3</v>
      </c>
      <c r="G63" s="925">
        <f t="shared" si="2"/>
        <v>0.21712499999999998</v>
      </c>
      <c r="H63" s="926"/>
    </row>
    <row r="64" spans="1:8" ht="15">
      <c r="A64" s="161"/>
      <c r="B64" s="911"/>
      <c r="C64" s="899">
        <v>1</v>
      </c>
      <c r="D64" s="927">
        <v>4.16</v>
      </c>
      <c r="E64" s="906">
        <v>0.25</v>
      </c>
      <c r="F64" s="910">
        <v>0.3</v>
      </c>
      <c r="G64" s="925">
        <f t="shared" si="2"/>
        <v>0.312</v>
      </c>
      <c r="H64" s="926"/>
    </row>
    <row r="65" spans="1:8" ht="15">
      <c r="A65" s="161"/>
      <c r="B65" s="911"/>
      <c r="C65" s="899">
        <v>1</v>
      </c>
      <c r="D65" s="927">
        <v>3.5</v>
      </c>
      <c r="E65" s="907">
        <v>0.25</v>
      </c>
      <c r="F65" s="910">
        <v>0.3</v>
      </c>
      <c r="G65" s="925">
        <f t="shared" si="2"/>
        <v>0.26250000000000001</v>
      </c>
      <c r="H65" s="926"/>
    </row>
    <row r="66" spans="1:8" ht="15">
      <c r="A66" s="161"/>
      <c r="B66" s="911"/>
      <c r="C66" s="899">
        <v>1</v>
      </c>
      <c r="D66" s="927">
        <v>10.555</v>
      </c>
      <c r="E66" s="907">
        <v>0.25</v>
      </c>
      <c r="F66" s="910">
        <v>0.3</v>
      </c>
      <c r="G66" s="925">
        <f t="shared" si="2"/>
        <v>0.79162499999999991</v>
      </c>
      <c r="H66" s="926"/>
    </row>
    <row r="67" spans="1:8" ht="15">
      <c r="A67" s="161"/>
      <c r="B67" s="911"/>
      <c r="C67" s="899">
        <v>1</v>
      </c>
      <c r="D67" s="927">
        <v>9.0519999999999996</v>
      </c>
      <c r="E67" s="907">
        <v>0.25</v>
      </c>
      <c r="F67" s="910">
        <v>0.3</v>
      </c>
      <c r="G67" s="925">
        <f t="shared" si="2"/>
        <v>0.67889999999999995</v>
      </c>
      <c r="H67" s="926"/>
    </row>
    <row r="68" spans="1:8" ht="15">
      <c r="A68" s="161"/>
      <c r="B68" s="911"/>
      <c r="C68" s="899">
        <v>1</v>
      </c>
      <c r="D68" s="927">
        <v>8.74</v>
      </c>
      <c r="E68" s="907">
        <v>0.25</v>
      </c>
      <c r="F68" s="910">
        <v>0.3</v>
      </c>
      <c r="G68" s="928">
        <f t="shared" si="2"/>
        <v>0.65549999999999997</v>
      </c>
      <c r="H68" s="926"/>
    </row>
    <row r="69" spans="1:8" ht="15">
      <c r="A69" s="161"/>
      <c r="B69" s="911"/>
      <c r="C69" s="899">
        <v>1</v>
      </c>
      <c r="D69" s="927">
        <v>8</v>
      </c>
      <c r="E69" s="907">
        <v>0.25</v>
      </c>
      <c r="F69" s="910">
        <v>0.3</v>
      </c>
      <c r="G69" s="928">
        <f t="shared" si="2"/>
        <v>0.6</v>
      </c>
      <c r="H69" s="926"/>
    </row>
    <row r="70" spans="1:8" ht="15">
      <c r="A70" s="161"/>
      <c r="B70" s="911"/>
      <c r="C70" s="899">
        <v>1</v>
      </c>
      <c r="D70" s="927">
        <v>8</v>
      </c>
      <c r="E70" s="907">
        <v>0.25</v>
      </c>
      <c r="F70" s="910">
        <v>0.3</v>
      </c>
      <c r="G70" s="928">
        <f t="shared" si="2"/>
        <v>0.6</v>
      </c>
      <c r="H70" s="926"/>
    </row>
    <row r="71" spans="1:8" ht="15">
      <c r="A71" s="161"/>
      <c r="B71" s="911"/>
      <c r="C71" s="899">
        <v>1</v>
      </c>
      <c r="D71" s="927">
        <v>2.9550000000000001</v>
      </c>
      <c r="E71" s="907">
        <v>0.25</v>
      </c>
      <c r="F71" s="910">
        <v>0.3</v>
      </c>
      <c r="G71" s="928">
        <f t="shared" si="2"/>
        <v>0.22162499999999999</v>
      </c>
      <c r="H71" s="926"/>
    </row>
    <row r="72" spans="1:8" ht="15">
      <c r="A72" s="161"/>
      <c r="B72" s="911"/>
      <c r="C72" s="899">
        <v>1</v>
      </c>
      <c r="D72" s="927">
        <v>5.2</v>
      </c>
      <c r="E72" s="907">
        <v>0.25</v>
      </c>
      <c r="F72" s="910">
        <v>0.3</v>
      </c>
      <c r="G72" s="928">
        <f t="shared" si="2"/>
        <v>0.39</v>
      </c>
      <c r="H72" s="926"/>
    </row>
    <row r="73" spans="1:8" ht="15">
      <c r="A73" s="161"/>
      <c r="B73" s="911"/>
      <c r="C73" s="899"/>
      <c r="D73" s="927"/>
      <c r="E73" s="907"/>
      <c r="F73" s="907"/>
      <c r="G73" s="928">
        <f>SUM(G62:G72)</f>
        <v>5.0292750000000002</v>
      </c>
      <c r="H73" s="926"/>
    </row>
    <row r="74" spans="1:8" ht="15">
      <c r="A74" s="161"/>
      <c r="B74" s="911"/>
      <c r="C74" s="899"/>
      <c r="D74" s="927"/>
      <c r="E74" s="907"/>
      <c r="F74" s="907"/>
      <c r="G74" s="889">
        <f>G73*10%</f>
        <v>0.50292750000000008</v>
      </c>
      <c r="H74" s="904"/>
    </row>
    <row r="75" spans="1:8" ht="15">
      <c r="A75" s="161"/>
      <c r="B75" s="887"/>
      <c r="C75" s="899"/>
      <c r="D75" s="898"/>
      <c r="E75" s="899"/>
      <c r="F75" s="899"/>
      <c r="G75" s="894">
        <f>G74+G73</f>
        <v>5.5322025000000004</v>
      </c>
      <c r="H75" s="895" t="s">
        <v>25</v>
      </c>
    </row>
    <row r="76" spans="1:8" ht="15">
      <c r="A76" s="161" t="s">
        <v>425</v>
      </c>
      <c r="B76" s="914" t="s">
        <v>489</v>
      </c>
      <c r="C76" s="899"/>
      <c r="D76" s="898"/>
      <c r="E76" s="899"/>
      <c r="F76" s="899"/>
      <c r="G76" s="929"/>
      <c r="H76" s="926"/>
    </row>
    <row r="77" spans="1:8" ht="15">
      <c r="A77" s="161" t="s">
        <v>475</v>
      </c>
      <c r="B77" s="930" t="s">
        <v>622</v>
      </c>
      <c r="C77" s="931"/>
      <c r="D77" s="932"/>
      <c r="E77" s="899"/>
      <c r="F77" s="899"/>
      <c r="G77" s="908"/>
      <c r="H77" s="900"/>
    </row>
    <row r="78" spans="1:8" ht="15">
      <c r="A78" s="161"/>
      <c r="B78" s="930" t="s">
        <v>1051</v>
      </c>
      <c r="C78" s="931"/>
      <c r="D78" s="932"/>
      <c r="E78" s="899"/>
      <c r="F78" s="899"/>
      <c r="G78" s="908"/>
      <c r="H78" s="900"/>
    </row>
    <row r="79" spans="1:8" ht="15">
      <c r="A79" s="161"/>
      <c r="B79" s="921" t="s">
        <v>608</v>
      </c>
      <c r="C79" s="912">
        <v>15</v>
      </c>
      <c r="D79" s="922">
        <v>0.25</v>
      </c>
      <c r="E79" s="849">
        <v>0.4</v>
      </c>
      <c r="F79" s="849">
        <v>2.6</v>
      </c>
      <c r="G79" s="863">
        <f>F79*E79*D79*C79</f>
        <v>3.9000000000000004</v>
      </c>
      <c r="H79" s="898"/>
    </row>
    <row r="80" spans="1:8" ht="15">
      <c r="A80" s="161"/>
      <c r="B80" s="921"/>
      <c r="C80" s="912"/>
      <c r="D80" s="922"/>
      <c r="E80" s="849"/>
      <c r="F80" s="849"/>
      <c r="G80" s="863">
        <f>SUM(G79:G79)</f>
        <v>3.9000000000000004</v>
      </c>
      <c r="H80" s="898"/>
    </row>
    <row r="81" spans="1:8" ht="15">
      <c r="A81" s="161"/>
      <c r="B81" s="921"/>
      <c r="C81" s="912"/>
      <c r="D81" s="922"/>
      <c r="E81" s="849"/>
      <c r="F81" s="849"/>
      <c r="G81" s="889">
        <f>G80*10%</f>
        <v>0.39000000000000007</v>
      </c>
      <c r="H81" s="917"/>
    </row>
    <row r="82" spans="1:8">
      <c r="A82" s="161"/>
      <c r="B82" s="855"/>
      <c r="C82" s="899"/>
      <c r="D82" s="898"/>
      <c r="E82" s="898"/>
      <c r="F82" s="898"/>
      <c r="G82" s="894">
        <f>SUM(G80:G81)</f>
        <v>4.29</v>
      </c>
      <c r="H82" s="918" t="s">
        <v>25</v>
      </c>
    </row>
    <row r="83" spans="1:8" ht="15">
      <c r="A83" s="161" t="s">
        <v>476</v>
      </c>
      <c r="B83" s="911" t="s">
        <v>1160</v>
      </c>
      <c r="C83" s="899"/>
      <c r="D83" s="898"/>
      <c r="E83" s="899"/>
      <c r="F83" s="899"/>
      <c r="G83" s="929"/>
      <c r="H83" s="926"/>
    </row>
    <row r="84" spans="1:8" ht="15">
      <c r="A84" s="161"/>
      <c r="B84" s="911"/>
      <c r="C84" s="909">
        <v>1</v>
      </c>
      <c r="D84" s="910">
        <v>4</v>
      </c>
      <c r="E84" s="910">
        <v>0.25</v>
      </c>
      <c r="F84" s="910">
        <v>0.27500000000000002</v>
      </c>
      <c r="G84" s="925">
        <f t="shared" ref="G84:G94" si="3">F84*E84*D84*C84</f>
        <v>0.27500000000000002</v>
      </c>
      <c r="H84" s="926"/>
    </row>
    <row r="85" spans="1:8" ht="15">
      <c r="A85" s="161"/>
      <c r="B85" s="911"/>
      <c r="C85" s="899">
        <v>1</v>
      </c>
      <c r="D85" s="927">
        <v>2.895</v>
      </c>
      <c r="E85" s="906">
        <v>0.25</v>
      </c>
      <c r="F85" s="910">
        <v>0.27500000000000002</v>
      </c>
      <c r="G85" s="925">
        <f t="shared" si="3"/>
        <v>0.19903125000000002</v>
      </c>
      <c r="H85" s="926"/>
    </row>
    <row r="86" spans="1:8" ht="15">
      <c r="A86" s="161"/>
      <c r="B86" s="911"/>
      <c r="C86" s="899">
        <v>1</v>
      </c>
      <c r="D86" s="927">
        <v>4.16</v>
      </c>
      <c r="E86" s="906">
        <v>0.25</v>
      </c>
      <c r="F86" s="910">
        <v>0.27500000000000002</v>
      </c>
      <c r="G86" s="925">
        <f t="shared" si="3"/>
        <v>0.28600000000000003</v>
      </c>
      <c r="H86" s="926"/>
    </row>
    <row r="87" spans="1:8" ht="15">
      <c r="A87" s="161"/>
      <c r="B87" s="911"/>
      <c r="C87" s="899">
        <v>1</v>
      </c>
      <c r="D87" s="927">
        <v>3.5</v>
      </c>
      <c r="E87" s="907">
        <v>0.25</v>
      </c>
      <c r="F87" s="910">
        <v>0.27500000000000002</v>
      </c>
      <c r="G87" s="925">
        <f t="shared" si="3"/>
        <v>0.24062500000000003</v>
      </c>
      <c r="H87" s="926"/>
    </row>
    <row r="88" spans="1:8" ht="15">
      <c r="A88" s="161"/>
      <c r="B88" s="911"/>
      <c r="C88" s="899">
        <v>1</v>
      </c>
      <c r="D88" s="927">
        <v>10.555</v>
      </c>
      <c r="E88" s="907">
        <v>0.25</v>
      </c>
      <c r="F88" s="910">
        <v>0.27500000000000002</v>
      </c>
      <c r="G88" s="925">
        <f t="shared" si="3"/>
        <v>0.72565625</v>
      </c>
      <c r="H88" s="926"/>
    </row>
    <row r="89" spans="1:8" ht="15">
      <c r="A89" s="161"/>
      <c r="B89" s="911"/>
      <c r="C89" s="899">
        <v>1</v>
      </c>
      <c r="D89" s="927">
        <v>9.0519999999999996</v>
      </c>
      <c r="E89" s="907">
        <v>0.25</v>
      </c>
      <c r="F89" s="910">
        <v>0.27500000000000002</v>
      </c>
      <c r="G89" s="925">
        <f t="shared" si="3"/>
        <v>0.62232500000000002</v>
      </c>
      <c r="H89" s="926"/>
    </row>
    <row r="90" spans="1:8" ht="15">
      <c r="A90" s="161"/>
      <c r="B90" s="911"/>
      <c r="C90" s="899">
        <v>1</v>
      </c>
      <c r="D90" s="927">
        <v>8.74</v>
      </c>
      <c r="E90" s="907">
        <v>0.25</v>
      </c>
      <c r="F90" s="910">
        <v>0.27500000000000002</v>
      </c>
      <c r="G90" s="928">
        <f t="shared" si="3"/>
        <v>0.60087500000000005</v>
      </c>
      <c r="H90" s="926"/>
    </row>
    <row r="91" spans="1:8" ht="15">
      <c r="A91" s="161"/>
      <c r="B91" s="911"/>
      <c r="C91" s="899">
        <v>1</v>
      </c>
      <c r="D91" s="927">
        <v>8</v>
      </c>
      <c r="E91" s="907">
        <v>0.25</v>
      </c>
      <c r="F91" s="910">
        <v>0.27500000000000002</v>
      </c>
      <c r="G91" s="928">
        <f t="shared" si="3"/>
        <v>0.55000000000000004</v>
      </c>
      <c r="H91" s="926"/>
    </row>
    <row r="92" spans="1:8" ht="15">
      <c r="A92" s="161"/>
      <c r="B92" s="911"/>
      <c r="C92" s="899">
        <v>1</v>
      </c>
      <c r="D92" s="927">
        <v>8</v>
      </c>
      <c r="E92" s="907">
        <v>0.25</v>
      </c>
      <c r="F92" s="910">
        <v>0.27500000000000002</v>
      </c>
      <c r="G92" s="928">
        <f t="shared" si="3"/>
        <v>0.55000000000000004</v>
      </c>
      <c r="H92" s="926"/>
    </row>
    <row r="93" spans="1:8" ht="15">
      <c r="A93" s="161"/>
      <c r="B93" s="911"/>
      <c r="C93" s="899">
        <v>1</v>
      </c>
      <c r="D93" s="927">
        <v>2.9550000000000001</v>
      </c>
      <c r="E93" s="907">
        <v>0.25</v>
      </c>
      <c r="F93" s="910">
        <v>0.27500000000000002</v>
      </c>
      <c r="G93" s="928">
        <f t="shared" si="3"/>
        <v>0.20315625000000001</v>
      </c>
      <c r="H93" s="926"/>
    </row>
    <row r="94" spans="1:8" ht="15">
      <c r="A94" s="161"/>
      <c r="B94" s="911"/>
      <c r="C94" s="899">
        <v>1</v>
      </c>
      <c r="D94" s="927">
        <v>5.2</v>
      </c>
      <c r="E94" s="907">
        <v>0.25</v>
      </c>
      <c r="F94" s="910">
        <v>0.27500000000000002</v>
      </c>
      <c r="G94" s="928">
        <f t="shared" si="3"/>
        <v>0.35750000000000004</v>
      </c>
      <c r="H94" s="926"/>
    </row>
    <row r="95" spans="1:8" ht="15">
      <c r="A95" s="161"/>
      <c r="B95" s="911"/>
      <c r="C95" s="899"/>
      <c r="D95" s="898"/>
      <c r="E95" s="899"/>
      <c r="F95" s="899"/>
      <c r="G95" s="928">
        <f>SUM(G84:G94)</f>
        <v>4.6101687499999997</v>
      </c>
      <c r="H95" s="926"/>
    </row>
    <row r="96" spans="1:8" ht="15">
      <c r="A96" s="161"/>
      <c r="B96" s="911"/>
      <c r="C96" s="899"/>
      <c r="D96" s="898"/>
      <c r="E96" s="899"/>
      <c r="F96" s="899"/>
      <c r="G96" s="889">
        <f>G95*10%</f>
        <v>0.46101687499999999</v>
      </c>
      <c r="H96" s="904"/>
    </row>
    <row r="97" spans="1:8" ht="15">
      <c r="A97" s="161"/>
      <c r="B97" s="911"/>
      <c r="C97" s="899"/>
      <c r="D97" s="898"/>
      <c r="E97" s="899"/>
      <c r="F97" s="899"/>
      <c r="G97" s="894">
        <f>G96+G95</f>
        <v>5.071185625</v>
      </c>
      <c r="H97" s="895" t="s">
        <v>25</v>
      </c>
    </row>
    <row r="98" spans="1:8" ht="15">
      <c r="A98" s="161" t="s">
        <v>477</v>
      </c>
      <c r="B98" s="911" t="s">
        <v>626</v>
      </c>
      <c r="C98" s="899"/>
      <c r="D98" s="898"/>
      <c r="E98" s="860"/>
      <c r="F98" s="898"/>
      <c r="G98" s="933"/>
      <c r="H98" s="934"/>
    </row>
    <row r="99" spans="1:8" ht="15">
      <c r="A99" s="161"/>
      <c r="B99" s="911"/>
      <c r="C99" s="899">
        <v>1</v>
      </c>
      <c r="D99" s="898">
        <v>4</v>
      </c>
      <c r="E99" s="860">
        <v>3.9950000000000001</v>
      </c>
      <c r="F99" s="898">
        <v>0.125</v>
      </c>
      <c r="G99" s="928">
        <f>F99*E99*C99*D99</f>
        <v>1.9975000000000001</v>
      </c>
      <c r="H99" s="934"/>
    </row>
    <row r="100" spans="1:8" ht="15">
      <c r="A100" s="161"/>
      <c r="B100" s="911"/>
      <c r="C100" s="899">
        <v>1</v>
      </c>
      <c r="D100" s="898">
        <v>2.8959999999999999</v>
      </c>
      <c r="E100" s="860">
        <v>4.2249999999999996</v>
      </c>
      <c r="F100" s="898">
        <v>0.125</v>
      </c>
      <c r="G100" s="928">
        <f t="shared" ref="G100:G105" si="4">F100*E100*C100*D100</f>
        <v>1.5294499999999998</v>
      </c>
      <c r="H100" s="934"/>
    </row>
    <row r="101" spans="1:8" ht="15">
      <c r="A101" s="161"/>
      <c r="B101" s="911"/>
      <c r="C101" s="899">
        <v>1</v>
      </c>
      <c r="D101" s="898">
        <v>4.16</v>
      </c>
      <c r="E101" s="860">
        <v>5.7050000000000001</v>
      </c>
      <c r="F101" s="898">
        <v>0.125</v>
      </c>
      <c r="G101" s="928">
        <f t="shared" si="4"/>
        <v>2.9666000000000001</v>
      </c>
      <c r="H101" s="934"/>
    </row>
    <row r="102" spans="1:8" ht="15">
      <c r="A102" s="161"/>
      <c r="B102" s="911"/>
      <c r="C102" s="899">
        <v>1</v>
      </c>
      <c r="D102" s="898">
        <v>4</v>
      </c>
      <c r="E102" s="860">
        <v>1.83</v>
      </c>
      <c r="F102" s="898">
        <v>0.125</v>
      </c>
      <c r="G102" s="928">
        <f t="shared" si="4"/>
        <v>0.91500000000000004</v>
      </c>
      <c r="H102" s="934"/>
    </row>
    <row r="103" spans="1:8" ht="15">
      <c r="A103" s="161"/>
      <c r="B103" s="911"/>
      <c r="C103" s="899">
        <v>1</v>
      </c>
      <c r="D103" s="898">
        <v>4</v>
      </c>
      <c r="E103" s="860">
        <v>3.2050000000000001</v>
      </c>
      <c r="F103" s="898">
        <v>0.125</v>
      </c>
      <c r="G103" s="928">
        <f t="shared" si="4"/>
        <v>1.6025</v>
      </c>
      <c r="H103" s="934"/>
    </row>
    <row r="104" spans="1:8" ht="15">
      <c r="A104" s="161"/>
      <c r="B104" s="911"/>
      <c r="C104" s="899">
        <v>1</v>
      </c>
      <c r="D104" s="898">
        <v>2.8959999999999999</v>
      </c>
      <c r="E104" s="860">
        <v>3.2050000000000001</v>
      </c>
      <c r="F104" s="898">
        <v>0.125</v>
      </c>
      <c r="G104" s="928">
        <f t="shared" si="4"/>
        <v>1.16021</v>
      </c>
      <c r="H104" s="934"/>
    </row>
    <row r="105" spans="1:8" ht="15">
      <c r="A105" s="161"/>
      <c r="C105" s="899">
        <v>1</v>
      </c>
      <c r="D105" s="898">
        <v>2.41</v>
      </c>
      <c r="E105" s="860">
        <v>3.2050000000000001</v>
      </c>
      <c r="F105" s="898">
        <v>0.125</v>
      </c>
      <c r="G105" s="928">
        <f t="shared" si="4"/>
        <v>0.96550625000000012</v>
      </c>
      <c r="H105" s="934"/>
    </row>
    <row r="106" spans="1:8" ht="15">
      <c r="A106" s="161"/>
      <c r="B106" s="911"/>
      <c r="C106" s="899"/>
      <c r="D106" s="898"/>
      <c r="E106" s="898"/>
      <c r="F106" s="899"/>
      <c r="G106" s="935">
        <f>SUM(G99:G105)</f>
        <v>11.136766250000001</v>
      </c>
      <c r="H106" s="926"/>
    </row>
    <row r="107" spans="1:8" ht="15">
      <c r="A107" s="161"/>
      <c r="B107" s="911"/>
      <c r="C107" s="899"/>
      <c r="D107" s="898"/>
      <c r="E107" s="898"/>
      <c r="F107" s="899"/>
      <c r="G107" s="889">
        <f>G106*10%</f>
        <v>1.1136766250000001</v>
      </c>
      <c r="H107" s="904"/>
    </row>
    <row r="108" spans="1:8" ht="15">
      <c r="A108" s="161"/>
      <c r="B108" s="911"/>
      <c r="C108" s="899"/>
      <c r="D108" s="898"/>
      <c r="E108" s="898"/>
      <c r="F108" s="899"/>
      <c r="G108" s="894">
        <f>G107+G106</f>
        <v>12.250442875000001</v>
      </c>
      <c r="H108" s="895" t="s">
        <v>25</v>
      </c>
    </row>
    <row r="109" spans="1:8" ht="15">
      <c r="A109" s="161" t="s">
        <v>478</v>
      </c>
      <c r="B109" s="936" t="s">
        <v>1162</v>
      </c>
      <c r="C109" s="899"/>
      <c r="D109" s="898"/>
      <c r="E109" s="899"/>
      <c r="F109" s="899"/>
      <c r="G109" s="929"/>
      <c r="H109" s="926"/>
    </row>
    <row r="110" spans="1:8" ht="15">
      <c r="A110" s="161"/>
      <c r="B110" s="936" t="s">
        <v>1051</v>
      </c>
      <c r="C110" s="899"/>
      <c r="D110" s="898"/>
      <c r="E110" s="899"/>
      <c r="F110" s="899"/>
      <c r="G110" s="929"/>
      <c r="H110" s="926"/>
    </row>
    <row r="111" spans="1:8" ht="15">
      <c r="A111" s="161"/>
      <c r="B111" s="937" t="s">
        <v>1357</v>
      </c>
      <c r="C111" s="849">
        <v>1</v>
      </c>
      <c r="D111" s="863">
        <v>1.3</v>
      </c>
      <c r="E111" s="863">
        <v>0.25</v>
      </c>
      <c r="F111" s="889">
        <v>0.15</v>
      </c>
      <c r="G111" s="938">
        <f t="shared" ref="G111:G123" si="5">F111*E111*D111*C111</f>
        <v>4.8750000000000002E-2</v>
      </c>
      <c r="H111" s="877"/>
    </row>
    <row r="112" spans="1:8" ht="15">
      <c r="A112" s="161"/>
      <c r="B112" s="937" t="s">
        <v>1358</v>
      </c>
      <c r="C112" s="849">
        <v>2</v>
      </c>
      <c r="D112" s="863">
        <v>1.2</v>
      </c>
      <c r="E112" s="863">
        <v>0.25</v>
      </c>
      <c r="F112" s="889">
        <v>0.15</v>
      </c>
      <c r="G112" s="938">
        <f t="shared" si="5"/>
        <v>0.09</v>
      </c>
      <c r="H112" s="877"/>
    </row>
    <row r="113" spans="1:8" ht="15">
      <c r="A113" s="161"/>
      <c r="B113" s="937"/>
      <c r="C113" s="849">
        <v>2</v>
      </c>
      <c r="D113" s="863">
        <v>1.2</v>
      </c>
      <c r="E113" s="863">
        <v>0.125</v>
      </c>
      <c r="F113" s="889">
        <v>0.15</v>
      </c>
      <c r="G113" s="938">
        <f t="shared" si="5"/>
        <v>4.4999999999999998E-2</v>
      </c>
      <c r="H113" s="877"/>
    </row>
    <row r="114" spans="1:8" ht="15">
      <c r="A114" s="161"/>
      <c r="B114" s="937" t="s">
        <v>1359</v>
      </c>
      <c r="C114" s="849">
        <v>1</v>
      </c>
      <c r="D114" s="863">
        <v>1.05</v>
      </c>
      <c r="E114" s="863">
        <v>0.25</v>
      </c>
      <c r="F114" s="889">
        <v>0.15</v>
      </c>
      <c r="G114" s="938">
        <f t="shared" si="5"/>
        <v>3.9375E-2</v>
      </c>
      <c r="H114" s="877"/>
    </row>
    <row r="115" spans="1:8" ht="15">
      <c r="A115" s="161"/>
      <c r="B115" s="937"/>
      <c r="C115" s="849">
        <v>2</v>
      </c>
      <c r="D115" s="863">
        <v>1.05</v>
      </c>
      <c r="E115" s="863">
        <v>0.125</v>
      </c>
      <c r="F115" s="889">
        <v>0.15</v>
      </c>
      <c r="G115" s="938">
        <f t="shared" si="5"/>
        <v>3.9375E-2</v>
      </c>
      <c r="H115" s="877"/>
    </row>
    <row r="116" spans="1:8">
      <c r="A116" s="161"/>
      <c r="B116" s="886" t="s">
        <v>1224</v>
      </c>
      <c r="C116" s="849">
        <v>4</v>
      </c>
      <c r="D116" s="863">
        <v>1.9</v>
      </c>
      <c r="E116" s="863">
        <v>0.25</v>
      </c>
      <c r="F116" s="889">
        <v>0.15</v>
      </c>
      <c r="G116" s="938">
        <f t="shared" si="5"/>
        <v>0.28499999999999998</v>
      </c>
      <c r="H116" s="877"/>
    </row>
    <row r="117" spans="1:8">
      <c r="A117" s="161"/>
      <c r="B117" s="939" t="s">
        <v>1361</v>
      </c>
      <c r="C117" s="849">
        <v>2</v>
      </c>
      <c r="D117" s="863">
        <v>1.5</v>
      </c>
      <c r="E117" s="863">
        <v>0.25</v>
      </c>
      <c r="F117" s="889">
        <v>0.15</v>
      </c>
      <c r="G117" s="938">
        <f t="shared" si="5"/>
        <v>0.11249999999999999</v>
      </c>
      <c r="H117" s="877"/>
    </row>
    <row r="118" spans="1:8">
      <c r="A118" s="161"/>
      <c r="B118" s="855" t="s">
        <v>1362</v>
      </c>
      <c r="C118" s="849">
        <v>2</v>
      </c>
      <c r="D118" s="863">
        <v>0.9</v>
      </c>
      <c r="E118" s="863">
        <v>0.25</v>
      </c>
      <c r="F118" s="889">
        <v>0.15</v>
      </c>
      <c r="G118" s="938">
        <f t="shared" si="5"/>
        <v>6.7500000000000004E-2</v>
      </c>
      <c r="H118" s="877"/>
    </row>
    <row r="119" spans="1:8">
      <c r="A119" s="161"/>
      <c r="B119" s="940" t="s">
        <v>1363</v>
      </c>
      <c r="C119" s="849">
        <v>1</v>
      </c>
      <c r="D119" s="863">
        <v>3.3</v>
      </c>
      <c r="E119" s="863">
        <v>0.125</v>
      </c>
      <c r="F119" s="889">
        <v>0.15</v>
      </c>
      <c r="G119" s="938">
        <f t="shared" si="5"/>
        <v>6.1874999999999993E-2</v>
      </c>
      <c r="H119" s="877"/>
    </row>
    <row r="120" spans="1:8">
      <c r="A120" s="161"/>
      <c r="B120" s="855"/>
      <c r="C120" s="849">
        <v>1</v>
      </c>
      <c r="D120" s="863">
        <v>2.6</v>
      </c>
      <c r="E120" s="863">
        <v>0.125</v>
      </c>
      <c r="F120" s="889">
        <v>0.15</v>
      </c>
      <c r="G120" s="938">
        <f t="shared" si="5"/>
        <v>4.8750000000000002E-2</v>
      </c>
      <c r="H120" s="877"/>
    </row>
    <row r="121" spans="1:8">
      <c r="A121" s="161"/>
      <c r="B121" s="855"/>
      <c r="C121" s="849">
        <v>1</v>
      </c>
      <c r="D121" s="863">
        <v>2.855</v>
      </c>
      <c r="E121" s="863">
        <v>0.125</v>
      </c>
      <c r="F121" s="889">
        <v>0.15</v>
      </c>
      <c r="G121" s="938">
        <f t="shared" si="5"/>
        <v>5.3531249999999996E-2</v>
      </c>
      <c r="H121" s="877"/>
    </row>
    <row r="122" spans="1:8" ht="10.5" customHeight="1">
      <c r="A122" s="161"/>
      <c r="B122" s="855"/>
      <c r="C122" s="849">
        <v>1</v>
      </c>
      <c r="D122" s="863">
        <v>1.96</v>
      </c>
      <c r="E122" s="863">
        <v>0.125</v>
      </c>
      <c r="F122" s="889">
        <v>0.15</v>
      </c>
      <c r="G122" s="938">
        <f t="shared" si="5"/>
        <v>3.6749999999999998E-2</v>
      </c>
      <c r="H122" s="877"/>
    </row>
    <row r="123" spans="1:8">
      <c r="A123" s="161"/>
      <c r="B123" s="855"/>
      <c r="C123" s="849">
        <v>1</v>
      </c>
      <c r="D123" s="863">
        <v>2.91</v>
      </c>
      <c r="E123" s="863">
        <v>0.125</v>
      </c>
      <c r="F123" s="889">
        <v>0.15</v>
      </c>
      <c r="G123" s="938">
        <f t="shared" si="5"/>
        <v>5.45625E-2</v>
      </c>
      <c r="H123" s="877"/>
    </row>
    <row r="124" spans="1:8">
      <c r="A124" s="161"/>
      <c r="B124" s="849"/>
      <c r="C124" s="849"/>
      <c r="D124" s="863"/>
      <c r="E124" s="889"/>
      <c r="F124" s="889"/>
      <c r="G124" s="938">
        <f>SUM(G111:G123)</f>
        <v>0.98296874999999984</v>
      </c>
      <c r="H124" s="877"/>
    </row>
    <row r="125" spans="1:8">
      <c r="A125" s="161"/>
      <c r="B125" s="849"/>
      <c r="C125" s="849"/>
      <c r="D125" s="863"/>
      <c r="E125" s="889"/>
      <c r="F125" s="889"/>
      <c r="G125" s="889">
        <f>G124*10%</f>
        <v>9.8296874999999992E-2</v>
      </c>
      <c r="H125" s="917"/>
    </row>
    <row r="126" spans="1:8">
      <c r="A126" s="161"/>
      <c r="B126" s="936"/>
      <c r="C126" s="899"/>
      <c r="D126" s="898"/>
      <c r="E126" s="899"/>
      <c r="F126" s="899"/>
      <c r="G126" s="894">
        <f>G125+G124</f>
        <v>1.0812656249999999</v>
      </c>
      <c r="H126" s="918" t="s">
        <v>25</v>
      </c>
    </row>
    <row r="127" spans="1:8" ht="15">
      <c r="A127" s="161" t="s">
        <v>479</v>
      </c>
      <c r="B127" s="936" t="s">
        <v>1225</v>
      </c>
      <c r="C127" s="899"/>
      <c r="D127" s="898"/>
      <c r="E127" s="899"/>
      <c r="F127" s="899"/>
      <c r="G127" s="929"/>
      <c r="H127" s="926"/>
    </row>
    <row r="128" spans="1:8" ht="15">
      <c r="A128" s="161"/>
      <c r="B128" s="919" t="s">
        <v>1051</v>
      </c>
      <c r="C128" s="849"/>
      <c r="D128" s="863"/>
      <c r="E128" s="863"/>
      <c r="F128" s="863"/>
      <c r="G128" s="941"/>
      <c r="H128" s="942"/>
    </row>
    <row r="129" spans="1:8" ht="15">
      <c r="A129" s="161"/>
      <c r="B129" s="919" t="s">
        <v>1224</v>
      </c>
      <c r="C129" s="849">
        <v>2</v>
      </c>
      <c r="D129" s="863">
        <v>1.9</v>
      </c>
      <c r="E129" s="863">
        <v>0.6</v>
      </c>
      <c r="F129" s="863"/>
      <c r="G129" s="943">
        <f>E129*D129*C129</f>
        <v>2.2799999999999998</v>
      </c>
      <c r="H129" s="901"/>
    </row>
    <row r="130" spans="1:8" ht="15">
      <c r="A130" s="161"/>
      <c r="B130" s="919" t="s">
        <v>1431</v>
      </c>
      <c r="C130" s="849">
        <v>1</v>
      </c>
      <c r="D130" s="863">
        <v>3.12</v>
      </c>
      <c r="E130" s="863">
        <v>0.6</v>
      </c>
      <c r="F130" s="863"/>
      <c r="G130" s="943">
        <f>E130*D130*C130</f>
        <v>1.8719999999999999</v>
      </c>
      <c r="H130" s="901"/>
    </row>
    <row r="131" spans="1:8" ht="15">
      <c r="A131" s="161"/>
      <c r="B131" s="919" t="s">
        <v>1361</v>
      </c>
      <c r="C131" s="849">
        <v>2</v>
      </c>
      <c r="D131" s="863">
        <v>1.5</v>
      </c>
      <c r="E131" s="863">
        <v>0.6</v>
      </c>
      <c r="F131" s="863"/>
      <c r="G131" s="943">
        <f>E131*D131*C131</f>
        <v>1.7999999999999998</v>
      </c>
      <c r="H131" s="901"/>
    </row>
    <row r="132" spans="1:8" ht="15">
      <c r="A132" s="161"/>
      <c r="B132" s="919" t="s">
        <v>1357</v>
      </c>
      <c r="C132" s="849">
        <v>1</v>
      </c>
      <c r="D132" s="863">
        <v>1.3</v>
      </c>
      <c r="E132" s="863">
        <v>0.6</v>
      </c>
      <c r="F132" s="863"/>
      <c r="G132" s="943">
        <f>E132*D132*C132</f>
        <v>0.78</v>
      </c>
      <c r="H132" s="901"/>
    </row>
    <row r="133" spans="1:8">
      <c r="A133" s="161"/>
      <c r="B133" s="855"/>
      <c r="C133" s="849"/>
      <c r="D133" s="863"/>
      <c r="E133" s="863"/>
      <c r="F133" s="863"/>
      <c r="G133" s="943">
        <f>SUM(G129:G132)</f>
        <v>6.7319999999999993</v>
      </c>
      <c r="H133" s="901"/>
    </row>
    <row r="134" spans="1:8">
      <c r="A134" s="161"/>
      <c r="B134" s="855"/>
      <c r="C134" s="849"/>
      <c r="D134" s="863"/>
      <c r="E134" s="863"/>
      <c r="F134" s="863"/>
      <c r="G134" s="890">
        <f>G133*10%</f>
        <v>0.67320000000000002</v>
      </c>
      <c r="H134" s="901"/>
    </row>
    <row r="135" spans="1:8" ht="15">
      <c r="A135" s="161"/>
      <c r="B135" s="919"/>
      <c r="C135" s="849"/>
      <c r="D135" s="863"/>
      <c r="E135" s="863"/>
      <c r="F135" s="863"/>
      <c r="G135" s="944">
        <f>G134+G133</f>
        <v>7.4051999999999989</v>
      </c>
      <c r="H135" s="918" t="s">
        <v>350</v>
      </c>
    </row>
    <row r="136" spans="1:8" ht="15">
      <c r="A136" s="161">
        <v>5</v>
      </c>
      <c r="B136" s="945" t="s">
        <v>615</v>
      </c>
      <c r="C136" s="931"/>
      <c r="D136" s="946"/>
      <c r="E136" s="947"/>
      <c r="F136" s="947"/>
      <c r="G136" s="929"/>
      <c r="H136" s="926"/>
    </row>
    <row r="137" spans="1:8" ht="15">
      <c r="A137" s="161"/>
      <c r="B137" s="936" t="s">
        <v>1051</v>
      </c>
      <c r="C137" s="931" t="s">
        <v>617</v>
      </c>
      <c r="D137" s="948" t="s">
        <v>618</v>
      </c>
      <c r="E137" s="949" t="s">
        <v>618</v>
      </c>
      <c r="F137" s="947"/>
      <c r="G137" s="929"/>
      <c r="H137" s="926"/>
    </row>
    <row r="138" spans="1:8" ht="15">
      <c r="A138" s="161"/>
      <c r="B138" s="950" t="s">
        <v>1243</v>
      </c>
      <c r="C138" s="935">
        <f>G51</f>
        <v>8.8786500000000004</v>
      </c>
      <c r="D138" s="946">
        <v>100</v>
      </c>
      <c r="E138" s="935">
        <f>D138*C138</f>
        <v>887.86500000000001</v>
      </c>
      <c r="F138" s="946"/>
      <c r="G138" s="929"/>
      <c r="H138" s="926"/>
    </row>
    <row r="139" spans="1:8" ht="15">
      <c r="A139" s="161"/>
      <c r="B139" s="950" t="s">
        <v>1244</v>
      </c>
      <c r="C139" s="935">
        <f>G56</f>
        <v>2.2021999999999999</v>
      </c>
      <c r="D139" s="946">
        <v>100</v>
      </c>
      <c r="E139" s="935">
        <f>D139*C139</f>
        <v>220.22</v>
      </c>
      <c r="F139" s="946"/>
      <c r="G139" s="929"/>
      <c r="H139" s="926"/>
    </row>
    <row r="140" spans="1:8" ht="15">
      <c r="A140" s="161"/>
      <c r="B140" s="950" t="s">
        <v>1221</v>
      </c>
      <c r="C140" s="935">
        <f>G61</f>
        <v>1.0725</v>
      </c>
      <c r="D140" s="946">
        <v>100</v>
      </c>
      <c r="E140" s="935">
        <f t="shared" ref="E140:E147" si="6">D140*C140</f>
        <v>107.25</v>
      </c>
      <c r="F140" s="946"/>
      <c r="G140" s="929"/>
      <c r="H140" s="926"/>
    </row>
    <row r="141" spans="1:8" ht="15">
      <c r="A141" s="161"/>
      <c r="B141" s="950" t="s">
        <v>624</v>
      </c>
      <c r="C141" s="935">
        <f>G75</f>
        <v>5.5322025000000004</v>
      </c>
      <c r="D141" s="946">
        <v>100</v>
      </c>
      <c r="E141" s="935">
        <f>D141*C141</f>
        <v>553.22025000000008</v>
      </c>
      <c r="F141" s="946"/>
      <c r="G141" s="929"/>
      <c r="H141" s="926"/>
    </row>
    <row r="142" spans="1:8" ht="15">
      <c r="A142" s="161"/>
      <c r="B142" s="950" t="s">
        <v>622</v>
      </c>
      <c r="C142" s="935">
        <f>G82</f>
        <v>4.29</v>
      </c>
      <c r="D142" s="946">
        <v>140</v>
      </c>
      <c r="E142" s="935">
        <f t="shared" si="6"/>
        <v>600.6</v>
      </c>
      <c r="F142" s="946"/>
      <c r="G142" s="929"/>
      <c r="H142" s="926"/>
    </row>
    <row r="143" spans="1:8" ht="15">
      <c r="A143" s="161"/>
      <c r="E143" s="951"/>
      <c r="F143" s="946"/>
      <c r="G143" s="929"/>
      <c r="H143" s="926"/>
    </row>
    <row r="144" spans="1:8" ht="15">
      <c r="A144" s="161"/>
      <c r="B144" s="952" t="s">
        <v>625</v>
      </c>
      <c r="C144" s="935">
        <f>G97</f>
        <v>5.071185625</v>
      </c>
      <c r="D144" s="946">
        <v>140</v>
      </c>
      <c r="E144" s="935">
        <f t="shared" si="6"/>
        <v>709.96598749999998</v>
      </c>
      <c r="F144" s="946"/>
      <c r="G144" s="929"/>
      <c r="H144" s="926"/>
    </row>
    <row r="145" spans="1:8" ht="15">
      <c r="A145" s="161"/>
      <c r="B145" s="953" t="s">
        <v>626</v>
      </c>
      <c r="C145" s="935">
        <f>G108</f>
        <v>12.250442875000001</v>
      </c>
      <c r="D145" s="946">
        <v>90</v>
      </c>
      <c r="E145" s="935">
        <f t="shared" si="6"/>
        <v>1102.5398587500001</v>
      </c>
      <c r="F145" s="946"/>
      <c r="G145" s="929"/>
      <c r="H145" s="926"/>
    </row>
    <row r="146" spans="1:8" ht="15">
      <c r="A146" s="161"/>
      <c r="B146" s="952" t="s">
        <v>1162</v>
      </c>
      <c r="C146" s="935">
        <f>G126</f>
        <v>1.0812656249999999</v>
      </c>
      <c r="D146" s="946">
        <v>100</v>
      </c>
      <c r="E146" s="935">
        <f t="shared" si="6"/>
        <v>108.12656249999999</v>
      </c>
      <c r="F146" s="946"/>
      <c r="G146" s="929"/>
      <c r="H146" s="926"/>
    </row>
    <row r="147" spans="1:8" ht="15">
      <c r="A147" s="161"/>
      <c r="B147" s="952" t="s">
        <v>1225</v>
      </c>
      <c r="C147" s="935">
        <f>G135</f>
        <v>7.4051999999999989</v>
      </c>
      <c r="D147" s="946">
        <v>5</v>
      </c>
      <c r="E147" s="935">
        <f t="shared" si="6"/>
        <v>37.025999999999996</v>
      </c>
      <c r="F147" s="946"/>
      <c r="G147" s="929"/>
      <c r="H147" s="926"/>
    </row>
    <row r="148" spans="1:8" ht="15">
      <c r="A148" s="161"/>
      <c r="B148" s="886"/>
      <c r="C148" s="899"/>
      <c r="D148" s="946"/>
      <c r="E148" s="163">
        <f>SUM(E138:E147)*1.2</f>
        <v>5192.1763904999998</v>
      </c>
      <c r="F148" s="954" t="s">
        <v>537</v>
      </c>
      <c r="G148" s="908"/>
      <c r="H148" s="900"/>
    </row>
    <row r="149" spans="1:8" ht="15.75">
      <c r="A149" s="161"/>
      <c r="B149" s="886"/>
      <c r="C149" s="899"/>
      <c r="D149" s="946"/>
      <c r="E149" s="955">
        <f>E148/100</f>
        <v>51.921763904999999</v>
      </c>
      <c r="F149" s="956" t="s">
        <v>628</v>
      </c>
      <c r="G149" s="908"/>
      <c r="H149" s="900"/>
    </row>
    <row r="150" spans="1:8" ht="15">
      <c r="A150" s="161">
        <v>6</v>
      </c>
      <c r="B150" s="957" t="s">
        <v>1226</v>
      </c>
      <c r="C150" s="899"/>
      <c r="D150" s="898"/>
      <c r="E150" s="886"/>
      <c r="F150" s="886"/>
      <c r="G150" s="886"/>
      <c r="H150" s="886"/>
    </row>
    <row r="151" spans="1:8" ht="15">
      <c r="A151" s="161"/>
      <c r="B151" s="958" t="s">
        <v>1365</v>
      </c>
      <c r="C151" s="935">
        <v>1</v>
      </c>
      <c r="D151" s="927">
        <v>1</v>
      </c>
      <c r="E151" s="935">
        <v>0.6</v>
      </c>
      <c r="F151" s="935">
        <v>0.15</v>
      </c>
      <c r="G151" s="927">
        <f>F151*E151*D151*C151</f>
        <v>0.09</v>
      </c>
      <c r="H151" s="898"/>
    </row>
    <row r="152" spans="1:8" ht="15">
      <c r="A152" s="161"/>
      <c r="B152" s="958"/>
      <c r="C152" s="935">
        <v>1</v>
      </c>
      <c r="D152" s="927">
        <v>1</v>
      </c>
      <c r="E152" s="935">
        <v>0.3</v>
      </c>
      <c r="F152" s="935">
        <v>0.15</v>
      </c>
      <c r="G152" s="927">
        <f>F152*E152*D152*C152</f>
        <v>4.4999999999999998E-2</v>
      </c>
      <c r="H152" s="898"/>
    </row>
    <row r="153" spans="1:8">
      <c r="A153" s="161"/>
      <c r="B153" s="855" t="s">
        <v>1227</v>
      </c>
      <c r="C153" s="850">
        <v>1</v>
      </c>
      <c r="D153" s="863">
        <f>9.905+3.205+1.5+5.455+4.01+1.28+3.045+1.28+4.35+1.575+0.6+5.83+0.6+1.255</f>
        <v>43.890000000000008</v>
      </c>
      <c r="E153" s="863">
        <v>0.55000000000000004</v>
      </c>
      <c r="F153" s="863">
        <v>0.3</v>
      </c>
      <c r="G153" s="863">
        <f>F153*E153*D153*C153</f>
        <v>7.2418500000000012</v>
      </c>
      <c r="H153" s="898"/>
    </row>
    <row r="154" spans="1:8">
      <c r="A154" s="161"/>
      <c r="B154" s="891"/>
      <c r="C154" s="850">
        <v>1</v>
      </c>
      <c r="D154" s="863">
        <f>9.905+3.205+1.5+5.455+4.01+1.28+3.045+1.28+4.35+1.575+0.6+5.83+0.6+1.255</f>
        <v>43.890000000000008</v>
      </c>
      <c r="E154" s="863">
        <v>0.25</v>
      </c>
      <c r="F154" s="863">
        <v>0.3</v>
      </c>
      <c r="G154" s="863">
        <f>F154*E154*D154*C154</f>
        <v>3.2917500000000004</v>
      </c>
      <c r="H154" s="898"/>
    </row>
    <row r="155" spans="1:8" ht="15">
      <c r="A155" s="161"/>
      <c r="B155" s="930"/>
      <c r="C155" s="850"/>
      <c r="D155" s="863"/>
      <c r="E155" s="863"/>
      <c r="F155" s="863"/>
      <c r="G155" s="906">
        <f>SUM(G151:G154)</f>
        <v>10.668600000000001</v>
      </c>
      <c r="H155" s="898"/>
    </row>
    <row r="156" spans="1:8" ht="15">
      <c r="A156" s="161"/>
      <c r="B156" s="930"/>
      <c r="C156" s="850"/>
      <c r="D156" s="863"/>
      <c r="E156" s="863"/>
      <c r="F156" s="863"/>
      <c r="G156" s="863">
        <f>G155*10%</f>
        <v>1.0668600000000001</v>
      </c>
      <c r="H156" s="898"/>
    </row>
    <row r="157" spans="1:8">
      <c r="A157" s="161"/>
      <c r="B157" s="886"/>
      <c r="C157" s="935"/>
      <c r="D157" s="927"/>
      <c r="E157" s="927"/>
      <c r="F157" s="927"/>
      <c r="G157" s="894">
        <f>G156+G155</f>
        <v>11.735460000000002</v>
      </c>
      <c r="H157" s="918" t="s">
        <v>25</v>
      </c>
    </row>
    <row r="158" spans="1:8" ht="15">
      <c r="A158" s="161">
        <v>7</v>
      </c>
      <c r="B158" s="957" t="s">
        <v>1163</v>
      </c>
      <c r="C158" s="899"/>
      <c r="D158" s="898"/>
      <c r="E158" s="899"/>
      <c r="F158" s="899"/>
      <c r="G158" s="886"/>
      <c r="H158" s="900"/>
    </row>
    <row r="159" spans="1:8" ht="15">
      <c r="A159" s="161"/>
      <c r="B159" s="959" t="s">
        <v>1051</v>
      </c>
      <c r="C159" s="899"/>
      <c r="D159" s="898"/>
      <c r="E159" s="899"/>
      <c r="F159" s="899"/>
      <c r="G159" s="908"/>
      <c r="H159" s="900"/>
    </row>
    <row r="160" spans="1:8" ht="15">
      <c r="A160" s="161"/>
      <c r="B160" s="959"/>
      <c r="C160" s="899">
        <v>1</v>
      </c>
      <c r="D160" s="898">
        <v>0.6</v>
      </c>
      <c r="E160" s="899">
        <v>0.25</v>
      </c>
      <c r="F160" s="899">
        <v>2.6</v>
      </c>
      <c r="G160" s="927">
        <f>F160*E160*D160*C160</f>
        <v>0.39</v>
      </c>
      <c r="H160" s="900"/>
    </row>
    <row r="161" spans="1:8" ht="15">
      <c r="A161" s="161"/>
      <c r="B161" s="959"/>
      <c r="C161" s="899">
        <v>1</v>
      </c>
      <c r="D161" s="898">
        <v>3.1</v>
      </c>
      <c r="E161" s="899">
        <v>0.25</v>
      </c>
      <c r="F161" s="899">
        <v>2.6</v>
      </c>
      <c r="G161" s="927">
        <f t="shared" ref="G161:G181" si="7">F161*E161*D161*C161</f>
        <v>2.0150000000000001</v>
      </c>
      <c r="H161" s="900"/>
    </row>
    <row r="162" spans="1:8" ht="15">
      <c r="A162" s="161"/>
      <c r="B162" s="959"/>
      <c r="C162" s="899">
        <v>1</v>
      </c>
      <c r="D162" s="898">
        <v>3.2549999999999999</v>
      </c>
      <c r="E162" s="899">
        <v>0.25</v>
      </c>
      <c r="F162" s="899">
        <v>2.6</v>
      </c>
      <c r="G162" s="927">
        <f t="shared" si="7"/>
        <v>2.1157499999999998</v>
      </c>
      <c r="H162" s="900"/>
    </row>
    <row r="163" spans="1:8" ht="15">
      <c r="A163" s="161"/>
      <c r="B163" s="959"/>
      <c r="C163" s="899">
        <v>1</v>
      </c>
      <c r="D163" s="898">
        <v>3.2549999999999999</v>
      </c>
      <c r="E163" s="899">
        <v>0.25</v>
      </c>
      <c r="F163" s="899">
        <v>2.6</v>
      </c>
      <c r="G163" s="927">
        <f t="shared" si="7"/>
        <v>2.1157499999999998</v>
      </c>
      <c r="H163" s="900"/>
    </row>
    <row r="164" spans="1:8" ht="15">
      <c r="A164" s="161"/>
      <c r="B164" s="959"/>
      <c r="C164" s="899">
        <v>1</v>
      </c>
      <c r="D164" s="898">
        <v>2.6960000000000002</v>
      </c>
      <c r="E164" s="899">
        <v>0.25</v>
      </c>
      <c r="F164" s="899">
        <v>2.6</v>
      </c>
      <c r="G164" s="927">
        <f t="shared" si="7"/>
        <v>1.7524000000000002</v>
      </c>
      <c r="H164" s="900"/>
    </row>
    <row r="165" spans="1:8" ht="15">
      <c r="A165" s="161"/>
      <c r="B165" s="959"/>
      <c r="C165" s="899">
        <v>1</v>
      </c>
      <c r="D165" s="898">
        <v>3.9249999999999998</v>
      </c>
      <c r="E165" s="899">
        <v>0.25</v>
      </c>
      <c r="F165" s="899">
        <v>2.6</v>
      </c>
      <c r="G165" s="927">
        <f t="shared" si="7"/>
        <v>2.55125</v>
      </c>
      <c r="H165" s="900"/>
    </row>
    <row r="166" spans="1:8" ht="15">
      <c r="A166" s="161"/>
      <c r="B166" s="959"/>
      <c r="C166" s="899">
        <v>1</v>
      </c>
      <c r="D166" s="898">
        <v>1.48</v>
      </c>
      <c r="E166" s="899">
        <v>0.25</v>
      </c>
      <c r="F166" s="899">
        <v>2.6</v>
      </c>
      <c r="G166" s="927">
        <f t="shared" si="7"/>
        <v>0.96199999999999997</v>
      </c>
      <c r="H166" s="900"/>
    </row>
    <row r="167" spans="1:8" ht="15">
      <c r="A167" s="161"/>
      <c r="B167" s="959"/>
      <c r="C167" s="899">
        <v>1</v>
      </c>
      <c r="D167" s="898">
        <v>1.7350000000000001</v>
      </c>
      <c r="E167" s="899">
        <v>0.25</v>
      </c>
      <c r="F167" s="899">
        <v>2.6</v>
      </c>
      <c r="G167" s="927">
        <f t="shared" si="7"/>
        <v>1.12775</v>
      </c>
      <c r="H167" s="900"/>
    </row>
    <row r="168" spans="1:8" ht="15">
      <c r="A168" s="161"/>
      <c r="B168" s="959"/>
      <c r="C168" s="899">
        <v>1</v>
      </c>
      <c r="D168" s="898">
        <v>5.2050000000000001</v>
      </c>
      <c r="E168" s="899">
        <v>0.25</v>
      </c>
      <c r="F168" s="899">
        <v>2.6</v>
      </c>
      <c r="G168" s="927">
        <f t="shared" si="7"/>
        <v>3.3832500000000003</v>
      </c>
      <c r="H168" s="900"/>
    </row>
    <row r="169" spans="1:8" ht="15">
      <c r="A169" s="161"/>
      <c r="B169" s="959"/>
      <c r="C169" s="899">
        <v>1</v>
      </c>
      <c r="D169" s="898">
        <v>1.91</v>
      </c>
      <c r="E169" s="899">
        <v>0.125</v>
      </c>
      <c r="F169" s="899">
        <v>2.6</v>
      </c>
      <c r="G169" s="927">
        <f t="shared" si="7"/>
        <v>0.62075000000000002</v>
      </c>
      <c r="H169" s="900"/>
    </row>
    <row r="170" spans="1:8" ht="15">
      <c r="A170" s="161"/>
      <c r="B170" s="959"/>
      <c r="C170" s="899">
        <v>1</v>
      </c>
      <c r="D170" s="898">
        <v>1.25</v>
      </c>
      <c r="E170" s="899">
        <v>0.25</v>
      </c>
      <c r="F170" s="899">
        <v>2.6</v>
      </c>
      <c r="G170" s="927">
        <f t="shared" si="7"/>
        <v>0.8125</v>
      </c>
      <c r="H170" s="900"/>
    </row>
    <row r="171" spans="1:8" ht="15">
      <c r="A171" s="161"/>
      <c r="B171" s="959"/>
      <c r="C171" s="899">
        <v>1</v>
      </c>
      <c r="D171" s="898">
        <v>3.08</v>
      </c>
      <c r="E171" s="899">
        <v>0.25</v>
      </c>
      <c r="F171" s="899">
        <v>2.6</v>
      </c>
      <c r="G171" s="927">
        <f t="shared" si="7"/>
        <v>2.0020000000000002</v>
      </c>
      <c r="H171" s="900"/>
    </row>
    <row r="172" spans="1:8" ht="15">
      <c r="A172" s="161"/>
      <c r="B172" s="959"/>
      <c r="C172" s="899">
        <v>1</v>
      </c>
      <c r="D172" s="898">
        <v>1.75</v>
      </c>
      <c r="E172" s="899">
        <v>0.25</v>
      </c>
      <c r="F172" s="899">
        <v>2.6</v>
      </c>
      <c r="G172" s="927">
        <f t="shared" si="7"/>
        <v>1.1375</v>
      </c>
      <c r="H172" s="900"/>
    </row>
    <row r="173" spans="1:8" ht="15">
      <c r="A173" s="161"/>
      <c r="B173" s="959"/>
      <c r="C173" s="899">
        <v>1</v>
      </c>
      <c r="D173" s="898">
        <v>2.9550000000000001</v>
      </c>
      <c r="E173" s="899">
        <v>0.25</v>
      </c>
      <c r="F173" s="899">
        <v>2.6</v>
      </c>
      <c r="G173" s="927">
        <f t="shared" si="7"/>
        <v>1.9207500000000002</v>
      </c>
      <c r="H173" s="900"/>
    </row>
    <row r="174" spans="1:8" ht="15">
      <c r="A174" s="161"/>
      <c r="B174" s="959"/>
      <c r="C174" s="899">
        <v>1</v>
      </c>
      <c r="D174" s="898">
        <v>2.895</v>
      </c>
      <c r="E174" s="899">
        <v>0.25</v>
      </c>
      <c r="F174" s="899">
        <v>2.6</v>
      </c>
      <c r="G174" s="927">
        <f t="shared" si="7"/>
        <v>1.88175</v>
      </c>
      <c r="H174" s="900"/>
    </row>
    <row r="175" spans="1:8" ht="15">
      <c r="A175" s="161"/>
      <c r="B175" s="959"/>
      <c r="C175" s="899">
        <v>1</v>
      </c>
      <c r="D175" s="898">
        <v>2.855</v>
      </c>
      <c r="E175" s="899">
        <v>0.125</v>
      </c>
      <c r="F175" s="899">
        <v>2.6</v>
      </c>
      <c r="G175" s="927">
        <f t="shared" si="7"/>
        <v>0.92787500000000001</v>
      </c>
      <c r="H175" s="900"/>
    </row>
    <row r="176" spans="1:8" ht="15">
      <c r="A176" s="161"/>
      <c r="B176" s="959"/>
      <c r="C176" s="899">
        <v>1</v>
      </c>
      <c r="D176" s="898">
        <v>3.1</v>
      </c>
      <c r="E176" s="899">
        <v>0.25</v>
      </c>
      <c r="F176" s="899">
        <v>2.6</v>
      </c>
      <c r="G176" s="927">
        <f t="shared" si="7"/>
        <v>2.0150000000000001</v>
      </c>
      <c r="H176" s="900"/>
    </row>
    <row r="177" spans="1:8" ht="15">
      <c r="A177" s="161"/>
      <c r="B177" s="959"/>
      <c r="C177" s="899">
        <v>2</v>
      </c>
      <c r="D177" s="898">
        <v>0.35</v>
      </c>
      <c r="E177" s="899">
        <v>0.25</v>
      </c>
      <c r="F177" s="899">
        <v>2.6</v>
      </c>
      <c r="G177" s="927">
        <f t="shared" si="7"/>
        <v>0.45499999999999996</v>
      </c>
      <c r="H177" s="900"/>
    </row>
    <row r="178" spans="1:8" ht="15">
      <c r="A178" s="161"/>
      <c r="B178" s="959"/>
      <c r="C178" s="899">
        <v>1</v>
      </c>
      <c r="D178" s="898">
        <v>3.105</v>
      </c>
      <c r="E178" s="899">
        <v>0.25</v>
      </c>
      <c r="F178" s="899">
        <v>2.6</v>
      </c>
      <c r="G178" s="927">
        <f t="shared" si="7"/>
        <v>2.0182500000000001</v>
      </c>
      <c r="H178" s="900"/>
    </row>
    <row r="179" spans="1:8" ht="15">
      <c r="A179" s="161"/>
      <c r="B179" s="959"/>
      <c r="C179" s="899">
        <v>2</v>
      </c>
      <c r="D179" s="898">
        <v>3.5</v>
      </c>
      <c r="E179" s="899">
        <v>0.125</v>
      </c>
      <c r="F179" s="899">
        <v>2.6</v>
      </c>
      <c r="G179" s="927">
        <f t="shared" si="7"/>
        <v>2.2749999999999999</v>
      </c>
      <c r="H179" s="900"/>
    </row>
    <row r="180" spans="1:8" ht="15">
      <c r="A180" s="161"/>
      <c r="B180" s="959"/>
      <c r="C180" s="899">
        <v>1</v>
      </c>
      <c r="D180" s="898">
        <v>1.48</v>
      </c>
      <c r="E180" s="899">
        <v>0.25</v>
      </c>
      <c r="F180" s="899">
        <v>2.6</v>
      </c>
      <c r="G180" s="927">
        <f t="shared" si="7"/>
        <v>0.96199999999999997</v>
      </c>
      <c r="H180" s="900"/>
    </row>
    <row r="181" spans="1:8" ht="15">
      <c r="A181" s="161"/>
      <c r="B181" s="959"/>
      <c r="C181" s="899">
        <v>1</v>
      </c>
      <c r="D181" s="898">
        <v>1.4419999999999999</v>
      </c>
      <c r="E181" s="899">
        <v>0.125</v>
      </c>
      <c r="F181" s="899">
        <v>2.6</v>
      </c>
      <c r="G181" s="927">
        <f t="shared" si="7"/>
        <v>0.46865000000000001</v>
      </c>
      <c r="H181" s="900"/>
    </row>
    <row r="182" spans="1:8" ht="15">
      <c r="A182" s="161"/>
      <c r="B182" s="959" t="s">
        <v>1164</v>
      </c>
      <c r="C182" s="899"/>
      <c r="D182" s="898"/>
      <c r="E182" s="899"/>
      <c r="F182" s="899"/>
      <c r="G182" s="960"/>
      <c r="H182" s="900"/>
    </row>
    <row r="183" spans="1:8" ht="15">
      <c r="A183" s="161"/>
      <c r="B183" s="959"/>
      <c r="C183" s="899">
        <v>1</v>
      </c>
      <c r="D183" s="898">
        <v>4.3499999999999996</v>
      </c>
      <c r="E183" s="899">
        <v>0.25</v>
      </c>
      <c r="F183" s="899">
        <v>0.9</v>
      </c>
      <c r="G183" s="960">
        <f>F183*E183*D183*C183</f>
        <v>0.9787499999999999</v>
      </c>
      <c r="H183" s="900"/>
    </row>
    <row r="184" spans="1:8" ht="15">
      <c r="A184" s="161"/>
      <c r="B184" s="959"/>
      <c r="C184" s="899">
        <v>1</v>
      </c>
      <c r="D184" s="898">
        <v>1.36</v>
      </c>
      <c r="E184" s="899">
        <v>0.25</v>
      </c>
      <c r="F184" s="899">
        <v>0.9</v>
      </c>
      <c r="G184" s="960">
        <f t="shared" ref="G184:G196" si="8">F184*E184*D184*C184</f>
        <v>0.30600000000000005</v>
      </c>
      <c r="H184" s="900"/>
    </row>
    <row r="185" spans="1:8" ht="15">
      <c r="A185" s="161"/>
      <c r="B185" s="959"/>
      <c r="C185" s="899">
        <v>1</v>
      </c>
      <c r="D185" s="898">
        <v>4.6550000000000002</v>
      </c>
      <c r="E185" s="899">
        <v>0.25</v>
      </c>
      <c r="F185" s="899">
        <v>0.9</v>
      </c>
      <c r="G185" s="960">
        <f t="shared" si="8"/>
        <v>1.0473750000000002</v>
      </c>
      <c r="H185" s="900"/>
    </row>
    <row r="186" spans="1:8" ht="15">
      <c r="A186" s="161"/>
      <c r="B186" s="959"/>
      <c r="C186" s="899">
        <v>1</v>
      </c>
      <c r="D186" s="898">
        <v>1.28</v>
      </c>
      <c r="E186" s="899">
        <v>0.25</v>
      </c>
      <c r="F186" s="899">
        <v>0.9</v>
      </c>
      <c r="G186" s="960">
        <f t="shared" si="8"/>
        <v>0.28800000000000003</v>
      </c>
      <c r="H186" s="900"/>
    </row>
    <row r="187" spans="1:8" ht="15">
      <c r="A187" s="161"/>
      <c r="B187" s="959"/>
      <c r="C187" s="899">
        <v>1</v>
      </c>
      <c r="D187" s="898">
        <v>2.4</v>
      </c>
      <c r="E187" s="899">
        <v>0.25</v>
      </c>
      <c r="F187" s="899">
        <v>0.9</v>
      </c>
      <c r="G187" s="960">
        <f t="shared" si="8"/>
        <v>0.54</v>
      </c>
      <c r="H187" s="900"/>
    </row>
    <row r="188" spans="1:8" ht="15">
      <c r="A188" s="161"/>
      <c r="B188" s="959"/>
      <c r="C188" s="899">
        <v>1</v>
      </c>
      <c r="D188" s="898">
        <v>5.45</v>
      </c>
      <c r="E188" s="899">
        <v>0.25</v>
      </c>
      <c r="F188" s="899">
        <v>0.9</v>
      </c>
      <c r="G188" s="960">
        <f t="shared" si="8"/>
        <v>1.2262500000000001</v>
      </c>
      <c r="H188" s="900"/>
    </row>
    <row r="189" spans="1:8" ht="15">
      <c r="A189" s="161"/>
      <c r="B189" s="959"/>
      <c r="C189" s="899">
        <v>1</v>
      </c>
      <c r="D189" s="898">
        <v>1.5</v>
      </c>
      <c r="E189" s="899">
        <v>0.25</v>
      </c>
      <c r="F189" s="899">
        <v>0.9</v>
      </c>
      <c r="G189" s="960">
        <f t="shared" si="8"/>
        <v>0.33750000000000002</v>
      </c>
      <c r="H189" s="900"/>
    </row>
    <row r="190" spans="1:8" ht="15">
      <c r="A190" s="161"/>
      <c r="B190" s="959"/>
      <c r="C190" s="899">
        <v>1</v>
      </c>
      <c r="D190" s="898">
        <v>3.2050000000000001</v>
      </c>
      <c r="E190" s="899">
        <v>0.25</v>
      </c>
      <c r="F190" s="899">
        <v>0.9</v>
      </c>
      <c r="G190" s="960">
        <f t="shared" si="8"/>
        <v>0.72112500000000002</v>
      </c>
      <c r="H190" s="900"/>
    </row>
    <row r="191" spans="1:8" ht="15">
      <c r="A191" s="161"/>
      <c r="B191" s="959"/>
      <c r="C191" s="899">
        <v>1</v>
      </c>
      <c r="D191" s="898">
        <v>9.9049999999999994</v>
      </c>
      <c r="E191" s="899">
        <v>0.25</v>
      </c>
      <c r="F191" s="899">
        <v>0.9</v>
      </c>
      <c r="G191" s="960">
        <f t="shared" si="8"/>
        <v>2.2286250000000001</v>
      </c>
      <c r="H191" s="900"/>
    </row>
    <row r="192" spans="1:8" ht="15">
      <c r="A192" s="161"/>
      <c r="B192" s="959"/>
      <c r="C192" s="899">
        <v>1</v>
      </c>
      <c r="D192" s="898">
        <v>1.2549999999999999</v>
      </c>
      <c r="E192" s="899">
        <v>0.25</v>
      </c>
      <c r="F192" s="899">
        <v>0.9</v>
      </c>
      <c r="G192" s="960">
        <f t="shared" si="8"/>
        <v>0.28237499999999999</v>
      </c>
      <c r="H192" s="900"/>
    </row>
    <row r="193" spans="1:8" ht="15">
      <c r="A193" s="161"/>
      <c r="B193" s="959"/>
      <c r="C193" s="899">
        <v>1</v>
      </c>
      <c r="D193" s="898">
        <v>0.6</v>
      </c>
      <c r="E193" s="899">
        <v>0.25</v>
      </c>
      <c r="F193" s="899">
        <v>0.9</v>
      </c>
      <c r="G193" s="960">
        <f t="shared" si="8"/>
        <v>0.13500000000000001</v>
      </c>
      <c r="H193" s="900"/>
    </row>
    <row r="194" spans="1:8" ht="15">
      <c r="A194" s="161"/>
      <c r="B194" s="959"/>
      <c r="C194" s="899">
        <v>1</v>
      </c>
      <c r="D194" s="898">
        <v>5.83</v>
      </c>
      <c r="E194" s="899">
        <v>0.25</v>
      </c>
      <c r="F194" s="899">
        <v>0.9</v>
      </c>
      <c r="G194" s="960">
        <f t="shared" si="8"/>
        <v>1.31175</v>
      </c>
      <c r="H194" s="900"/>
    </row>
    <row r="195" spans="1:8" ht="15">
      <c r="A195" s="161"/>
      <c r="B195" s="959"/>
      <c r="C195" s="899">
        <v>1</v>
      </c>
      <c r="D195" s="898">
        <v>0.6</v>
      </c>
      <c r="E195" s="899">
        <v>0.25</v>
      </c>
      <c r="F195" s="899">
        <v>0.9</v>
      </c>
      <c r="G195" s="960">
        <f t="shared" si="8"/>
        <v>0.13500000000000001</v>
      </c>
      <c r="H195" s="900"/>
    </row>
    <row r="196" spans="1:8" ht="15">
      <c r="A196" s="161"/>
      <c r="B196" s="959"/>
      <c r="C196" s="899">
        <v>1</v>
      </c>
      <c r="D196" s="898">
        <v>1.655</v>
      </c>
      <c r="E196" s="899">
        <v>0.25</v>
      </c>
      <c r="F196" s="899">
        <v>0.9</v>
      </c>
      <c r="G196" s="960">
        <f t="shared" si="8"/>
        <v>0.37237500000000001</v>
      </c>
      <c r="H196" s="900"/>
    </row>
    <row r="197" spans="1:8">
      <c r="A197" s="936"/>
      <c r="B197" s="886"/>
      <c r="C197" s="899"/>
      <c r="D197" s="898"/>
      <c r="E197" s="899"/>
      <c r="F197" s="935"/>
      <c r="G197" s="960">
        <f>SUM(G160:G196)</f>
        <v>43.820299999999989</v>
      </c>
      <c r="H197" s="900"/>
    </row>
    <row r="198" spans="1:8">
      <c r="A198" s="936"/>
      <c r="B198" s="886" t="s">
        <v>1228</v>
      </c>
      <c r="C198" s="849"/>
      <c r="D198" s="860"/>
      <c r="E198" s="860"/>
      <c r="F198" s="860"/>
      <c r="G198" s="961"/>
      <c r="H198" s="900"/>
    </row>
    <row r="199" spans="1:8" ht="15">
      <c r="A199" s="936"/>
      <c r="B199" s="962" t="s">
        <v>1357</v>
      </c>
      <c r="C199" s="849">
        <v>1</v>
      </c>
      <c r="D199" s="863">
        <v>1</v>
      </c>
      <c r="E199" s="863">
        <v>0.25</v>
      </c>
      <c r="F199" s="889">
        <v>2.1</v>
      </c>
      <c r="G199" s="963">
        <f t="shared" ref="G199:G220" si="9">F199*E199*D199*C199</f>
        <v>0.52500000000000002</v>
      </c>
      <c r="H199" s="900"/>
    </row>
    <row r="200" spans="1:8" ht="15">
      <c r="A200" s="936"/>
      <c r="B200" s="962" t="s">
        <v>1358</v>
      </c>
      <c r="C200" s="849">
        <v>2</v>
      </c>
      <c r="D200" s="863">
        <v>0.9</v>
      </c>
      <c r="E200" s="863">
        <v>0.25</v>
      </c>
      <c r="F200" s="889">
        <v>2.1</v>
      </c>
      <c r="G200" s="963">
        <f t="shared" si="9"/>
        <v>0.94500000000000006</v>
      </c>
      <c r="H200" s="900"/>
    </row>
    <row r="201" spans="1:8" ht="15">
      <c r="A201" s="936"/>
      <c r="B201" s="962"/>
      <c r="C201" s="849">
        <v>2</v>
      </c>
      <c r="D201" s="863">
        <v>0.9</v>
      </c>
      <c r="E201" s="863">
        <v>0.125</v>
      </c>
      <c r="F201" s="889">
        <v>2.1</v>
      </c>
      <c r="G201" s="963">
        <f t="shared" si="9"/>
        <v>0.47250000000000003</v>
      </c>
      <c r="H201" s="900"/>
    </row>
    <row r="202" spans="1:8" ht="15">
      <c r="A202" s="936"/>
      <c r="B202" s="962" t="s">
        <v>1359</v>
      </c>
      <c r="C202" s="849">
        <v>1</v>
      </c>
      <c r="D202" s="863">
        <v>0.75</v>
      </c>
      <c r="E202" s="863">
        <v>0.25</v>
      </c>
      <c r="F202" s="889">
        <v>2.1</v>
      </c>
      <c r="G202" s="963">
        <f t="shared" si="9"/>
        <v>0.39375000000000004</v>
      </c>
      <c r="H202" s="900"/>
    </row>
    <row r="203" spans="1:8" ht="15">
      <c r="A203" s="936"/>
      <c r="B203" s="962"/>
      <c r="C203" s="849">
        <v>2</v>
      </c>
      <c r="D203" s="863">
        <v>0.75</v>
      </c>
      <c r="E203" s="863">
        <v>0.125</v>
      </c>
      <c r="F203" s="889">
        <v>2.1</v>
      </c>
      <c r="G203" s="963">
        <f t="shared" si="9"/>
        <v>0.39375000000000004</v>
      </c>
      <c r="H203" s="900"/>
    </row>
    <row r="204" spans="1:8">
      <c r="A204" s="936"/>
      <c r="B204" s="899" t="s">
        <v>1224</v>
      </c>
      <c r="C204" s="849">
        <v>4</v>
      </c>
      <c r="D204" s="863">
        <v>1.6</v>
      </c>
      <c r="E204" s="863">
        <v>0.25</v>
      </c>
      <c r="F204" s="889">
        <v>1.5</v>
      </c>
      <c r="G204" s="963">
        <f t="shared" si="9"/>
        <v>2.4000000000000004</v>
      </c>
      <c r="H204" s="900"/>
    </row>
    <row r="205" spans="1:8">
      <c r="A205" s="936"/>
      <c r="B205" s="964" t="s">
        <v>1361</v>
      </c>
      <c r="C205" s="849">
        <v>2</v>
      </c>
      <c r="D205" s="863">
        <v>1.2</v>
      </c>
      <c r="E205" s="863">
        <v>0.25</v>
      </c>
      <c r="F205" s="889">
        <v>1.5</v>
      </c>
      <c r="G205" s="963">
        <f t="shared" si="9"/>
        <v>0.89999999999999991</v>
      </c>
      <c r="H205" s="900"/>
    </row>
    <row r="206" spans="1:8">
      <c r="A206" s="936"/>
      <c r="B206" s="849" t="s">
        <v>1362</v>
      </c>
      <c r="C206" s="849">
        <v>2</v>
      </c>
      <c r="D206" s="863">
        <v>0.6</v>
      </c>
      <c r="E206" s="863">
        <v>0.25</v>
      </c>
      <c r="F206" s="889">
        <v>0.6</v>
      </c>
      <c r="G206" s="963">
        <f t="shared" si="9"/>
        <v>0.18</v>
      </c>
      <c r="H206" s="900"/>
    </row>
    <row r="207" spans="1:8">
      <c r="A207" s="936"/>
      <c r="B207" s="849" t="s">
        <v>651</v>
      </c>
      <c r="C207" s="849"/>
      <c r="D207" s="863"/>
      <c r="E207" s="863"/>
      <c r="F207" s="889"/>
      <c r="G207" s="963"/>
      <c r="H207" s="900"/>
    </row>
    <row r="208" spans="1:8" ht="15">
      <c r="A208" s="936"/>
      <c r="B208" s="962" t="s">
        <v>1357</v>
      </c>
      <c r="C208" s="849">
        <v>1</v>
      </c>
      <c r="D208" s="863">
        <v>1.3</v>
      </c>
      <c r="E208" s="863">
        <v>0.25</v>
      </c>
      <c r="F208" s="889">
        <v>0.15</v>
      </c>
      <c r="G208" s="963">
        <f t="shared" ref="G208:G215" si="10">F208*E208*D208*C208</f>
        <v>4.8750000000000002E-2</v>
      </c>
      <c r="H208" s="900"/>
    </row>
    <row r="209" spans="1:8" ht="15">
      <c r="A209" s="936"/>
      <c r="B209" s="962" t="s">
        <v>1358</v>
      </c>
      <c r="C209" s="849">
        <v>2</v>
      </c>
      <c r="D209" s="863">
        <v>1.2</v>
      </c>
      <c r="E209" s="863">
        <v>0.25</v>
      </c>
      <c r="F209" s="889">
        <v>0.15</v>
      </c>
      <c r="G209" s="963">
        <f t="shared" si="10"/>
        <v>0.09</v>
      </c>
      <c r="H209" s="900"/>
    </row>
    <row r="210" spans="1:8" ht="15">
      <c r="A210" s="936"/>
      <c r="B210" s="962"/>
      <c r="C210" s="849">
        <v>2</v>
      </c>
      <c r="D210" s="863">
        <v>1.2</v>
      </c>
      <c r="E210" s="863">
        <v>0.125</v>
      </c>
      <c r="F210" s="889">
        <v>0.15</v>
      </c>
      <c r="G210" s="963">
        <f t="shared" si="10"/>
        <v>4.4999999999999998E-2</v>
      </c>
      <c r="H210" s="900"/>
    </row>
    <row r="211" spans="1:8" ht="15">
      <c r="A211" s="936"/>
      <c r="B211" s="962" t="s">
        <v>1359</v>
      </c>
      <c r="C211" s="849">
        <v>1</v>
      </c>
      <c r="D211" s="863">
        <v>1.05</v>
      </c>
      <c r="E211" s="863">
        <v>0.25</v>
      </c>
      <c r="F211" s="889">
        <v>0.15</v>
      </c>
      <c r="G211" s="963">
        <f t="shared" si="10"/>
        <v>3.9375E-2</v>
      </c>
      <c r="H211" s="900"/>
    </row>
    <row r="212" spans="1:8" ht="15">
      <c r="A212" s="936"/>
      <c r="B212" s="962"/>
      <c r="C212" s="849">
        <v>2</v>
      </c>
      <c r="D212" s="863">
        <v>1.05</v>
      </c>
      <c r="E212" s="863">
        <v>0.125</v>
      </c>
      <c r="F212" s="889">
        <v>0.15</v>
      </c>
      <c r="G212" s="963">
        <f t="shared" si="10"/>
        <v>3.9375E-2</v>
      </c>
      <c r="H212" s="900"/>
    </row>
    <row r="213" spans="1:8">
      <c r="A213" s="936"/>
      <c r="B213" s="899" t="s">
        <v>1224</v>
      </c>
      <c r="C213" s="849">
        <v>4</v>
      </c>
      <c r="D213" s="863">
        <v>1.9</v>
      </c>
      <c r="E213" s="863">
        <v>0.25</v>
      </c>
      <c r="F213" s="889">
        <v>0.15</v>
      </c>
      <c r="G213" s="963">
        <f t="shared" si="10"/>
        <v>0.28499999999999998</v>
      </c>
      <c r="H213" s="900"/>
    </row>
    <row r="214" spans="1:8">
      <c r="A214" s="936"/>
      <c r="B214" s="964" t="s">
        <v>1361</v>
      </c>
      <c r="C214" s="849">
        <v>2</v>
      </c>
      <c r="D214" s="863">
        <v>1.5</v>
      </c>
      <c r="E214" s="863">
        <v>0.25</v>
      </c>
      <c r="F214" s="889">
        <v>0.15</v>
      </c>
      <c r="G214" s="963">
        <f t="shared" si="10"/>
        <v>0.11249999999999999</v>
      </c>
      <c r="H214" s="900"/>
    </row>
    <row r="215" spans="1:8">
      <c r="A215" s="936"/>
      <c r="B215" s="849" t="s">
        <v>1362</v>
      </c>
      <c r="C215" s="849">
        <v>2</v>
      </c>
      <c r="D215" s="863">
        <v>0.9</v>
      </c>
      <c r="E215" s="863">
        <v>0.25</v>
      </c>
      <c r="F215" s="889">
        <v>0.15</v>
      </c>
      <c r="G215" s="963">
        <f t="shared" si="10"/>
        <v>6.7500000000000004E-2</v>
      </c>
      <c r="H215" s="900"/>
    </row>
    <row r="216" spans="1:8">
      <c r="A216" s="936"/>
      <c r="B216" s="849" t="s">
        <v>1432</v>
      </c>
      <c r="C216" s="849">
        <v>1</v>
      </c>
      <c r="D216" s="863">
        <v>3.3</v>
      </c>
      <c r="E216" s="863">
        <v>0.125</v>
      </c>
      <c r="F216" s="889">
        <v>0.15</v>
      </c>
      <c r="G216" s="963">
        <f t="shared" si="9"/>
        <v>6.1874999999999993E-2</v>
      </c>
      <c r="H216" s="900"/>
    </row>
    <row r="217" spans="1:8">
      <c r="A217" s="936"/>
      <c r="B217" s="855"/>
      <c r="C217" s="849">
        <v>1</v>
      </c>
      <c r="D217" s="863">
        <v>2.6</v>
      </c>
      <c r="E217" s="863">
        <v>0.125</v>
      </c>
      <c r="F217" s="889">
        <v>0.15</v>
      </c>
      <c r="G217" s="963">
        <f t="shared" si="9"/>
        <v>4.8750000000000002E-2</v>
      </c>
      <c r="H217" s="900"/>
    </row>
    <row r="218" spans="1:8">
      <c r="A218" s="936"/>
      <c r="B218" s="855"/>
      <c r="C218" s="849">
        <v>1</v>
      </c>
      <c r="D218" s="863">
        <v>2.855</v>
      </c>
      <c r="E218" s="863">
        <v>0.125</v>
      </c>
      <c r="F218" s="889">
        <v>0.15</v>
      </c>
      <c r="G218" s="963">
        <f t="shared" si="9"/>
        <v>5.3531249999999996E-2</v>
      </c>
      <c r="H218" s="900"/>
    </row>
    <row r="219" spans="1:8">
      <c r="A219" s="936"/>
      <c r="B219" s="855"/>
      <c r="C219" s="849">
        <v>1</v>
      </c>
      <c r="D219" s="863">
        <v>1.96</v>
      </c>
      <c r="E219" s="863">
        <v>0.125</v>
      </c>
      <c r="F219" s="889">
        <v>0.15</v>
      </c>
      <c r="G219" s="963">
        <f t="shared" si="9"/>
        <v>3.6749999999999998E-2</v>
      </c>
      <c r="H219" s="900"/>
    </row>
    <row r="220" spans="1:8">
      <c r="A220" s="936"/>
      <c r="B220" s="855"/>
      <c r="C220" s="849">
        <v>1</v>
      </c>
      <c r="D220" s="863">
        <v>2.91</v>
      </c>
      <c r="E220" s="863">
        <v>0.125</v>
      </c>
      <c r="F220" s="889">
        <v>0.15</v>
      </c>
      <c r="G220" s="963">
        <f t="shared" si="9"/>
        <v>5.45625E-2</v>
      </c>
      <c r="H220" s="900"/>
    </row>
    <row r="221" spans="1:8" ht="15">
      <c r="A221" s="936"/>
      <c r="B221" s="886"/>
      <c r="C221" s="899"/>
      <c r="D221" s="898"/>
      <c r="E221" s="899"/>
      <c r="F221" s="931"/>
      <c r="G221" s="965">
        <f>SUM(G199:G220)</f>
        <v>7.1929687499999995</v>
      </c>
      <c r="H221" s="900"/>
    </row>
    <row r="222" spans="1:8">
      <c r="A222" s="936"/>
      <c r="B222" s="886"/>
      <c r="C222" s="899"/>
      <c r="D222" s="927"/>
      <c r="E222" s="899"/>
      <c r="F222" s="935"/>
      <c r="G222" s="960">
        <f>G197-G221</f>
        <v>36.62733124999999</v>
      </c>
      <c r="H222" s="900"/>
    </row>
    <row r="223" spans="1:8">
      <c r="A223" s="936"/>
      <c r="B223" s="886"/>
      <c r="C223" s="899"/>
      <c r="D223" s="927"/>
      <c r="E223" s="899"/>
      <c r="F223" s="935"/>
      <c r="G223" s="963">
        <f>G222*10%</f>
        <v>3.662733124999999</v>
      </c>
      <c r="H223" s="900"/>
    </row>
    <row r="224" spans="1:8">
      <c r="A224" s="936"/>
      <c r="B224" s="886"/>
      <c r="C224" s="899"/>
      <c r="D224" s="927"/>
      <c r="E224" s="899"/>
      <c r="F224" s="935"/>
      <c r="G224" s="966">
        <f>G223+G222</f>
        <v>40.290064374999986</v>
      </c>
      <c r="H224" s="918" t="s">
        <v>25</v>
      </c>
    </row>
    <row r="225" spans="1:8" ht="15">
      <c r="A225" s="161">
        <v>8</v>
      </c>
      <c r="B225" s="884" t="s">
        <v>1165</v>
      </c>
      <c r="C225" s="899"/>
      <c r="D225" s="877"/>
      <c r="E225" s="161"/>
      <c r="F225" s="886"/>
      <c r="G225" s="967"/>
      <c r="H225" s="926"/>
    </row>
    <row r="226" spans="1:8">
      <c r="A226" s="161"/>
      <c r="B226" s="968" t="s">
        <v>1231</v>
      </c>
      <c r="C226" s="899"/>
      <c r="D226" s="898"/>
      <c r="E226" s="899"/>
      <c r="F226" s="886"/>
      <c r="G226" s="908"/>
      <c r="H226" s="900"/>
    </row>
    <row r="227" spans="1:8">
      <c r="A227" s="161"/>
      <c r="B227" s="936"/>
      <c r="C227" s="899"/>
      <c r="D227" s="898"/>
      <c r="E227" s="899"/>
      <c r="F227" s="899"/>
      <c r="G227" s="886"/>
      <c r="H227" s="900"/>
    </row>
    <row r="228" spans="1:8">
      <c r="A228" s="161"/>
      <c r="B228" s="969" t="s">
        <v>1371</v>
      </c>
      <c r="C228" s="899">
        <v>1</v>
      </c>
      <c r="D228" s="860">
        <f>2*(2.15+1.48)</f>
        <v>7.26</v>
      </c>
      <c r="E228" s="899"/>
      <c r="F228" s="935">
        <v>2.1</v>
      </c>
      <c r="G228" s="927">
        <f>F228*D228*C228</f>
        <v>15.246</v>
      </c>
      <c r="H228" s="900"/>
    </row>
    <row r="229" spans="1:8">
      <c r="A229" s="161"/>
      <c r="B229" s="969"/>
      <c r="C229" s="899">
        <v>1</v>
      </c>
      <c r="D229" s="898">
        <f>2*(2.475+1.48)</f>
        <v>7.91</v>
      </c>
      <c r="E229" s="899"/>
      <c r="F229" s="935">
        <v>2.1</v>
      </c>
      <c r="G229" s="927">
        <f>F229*D229*C229</f>
        <v>16.611000000000001</v>
      </c>
      <c r="H229" s="900"/>
    </row>
    <row r="230" spans="1:8">
      <c r="A230" s="161"/>
      <c r="B230" s="970" t="s">
        <v>1433</v>
      </c>
      <c r="C230" s="971">
        <v>1</v>
      </c>
      <c r="D230" s="927">
        <f>2*(2.16+3.08)</f>
        <v>10.48</v>
      </c>
      <c r="E230" s="899"/>
      <c r="F230" s="935">
        <v>2.1</v>
      </c>
      <c r="G230" s="927">
        <f>F230*D230*C230</f>
        <v>22.008000000000003</v>
      </c>
      <c r="H230" s="900"/>
    </row>
    <row r="231" spans="1:8">
      <c r="A231" s="161"/>
      <c r="B231" s="969"/>
      <c r="C231" s="899"/>
      <c r="D231" s="898"/>
      <c r="E231" s="899"/>
      <c r="F231" s="935"/>
      <c r="G231" s="927">
        <f>SUM(G228:G230)</f>
        <v>53.865000000000002</v>
      </c>
      <c r="H231" s="900"/>
    </row>
    <row r="232" spans="1:8">
      <c r="A232" s="161"/>
      <c r="B232" s="969" t="s">
        <v>1021</v>
      </c>
      <c r="C232" s="899"/>
      <c r="D232" s="898"/>
      <c r="E232" s="899"/>
      <c r="F232" s="935"/>
      <c r="G232" s="886"/>
      <c r="H232" s="900"/>
    </row>
    <row r="233" spans="1:8" ht="15">
      <c r="A233" s="161"/>
      <c r="B233" s="972" t="s">
        <v>1359</v>
      </c>
      <c r="C233" s="849">
        <v>2</v>
      </c>
      <c r="D233" s="863">
        <v>0.75</v>
      </c>
      <c r="E233" s="863"/>
      <c r="F233" s="889">
        <v>2.1</v>
      </c>
      <c r="G233" s="938">
        <f>F233*D233*C233</f>
        <v>3.1500000000000004</v>
      </c>
      <c r="H233" s="900"/>
    </row>
    <row r="234" spans="1:8" ht="15">
      <c r="A234" s="161"/>
      <c r="B234" s="972" t="s">
        <v>1358</v>
      </c>
      <c r="C234" s="849">
        <v>1</v>
      </c>
      <c r="D234" s="863">
        <v>0.9</v>
      </c>
      <c r="E234" s="863"/>
      <c r="F234" s="889">
        <v>2.1</v>
      </c>
      <c r="G234" s="938">
        <f>F234*D234*C234</f>
        <v>1.8900000000000001</v>
      </c>
      <c r="H234" s="900"/>
    </row>
    <row r="235" spans="1:8" ht="15">
      <c r="A235" s="161"/>
      <c r="B235" s="972" t="s">
        <v>1361</v>
      </c>
      <c r="C235" s="849">
        <v>1</v>
      </c>
      <c r="D235" s="863">
        <v>1.2</v>
      </c>
      <c r="E235" s="863"/>
      <c r="F235" s="889">
        <v>1.5</v>
      </c>
      <c r="G235" s="938">
        <f>F235*D235*C235</f>
        <v>1.7999999999999998</v>
      </c>
      <c r="H235" s="900"/>
    </row>
    <row r="236" spans="1:8">
      <c r="A236" s="161"/>
      <c r="B236" s="970" t="s">
        <v>1362</v>
      </c>
      <c r="C236" s="849">
        <v>2</v>
      </c>
      <c r="D236" s="863">
        <v>0.6</v>
      </c>
      <c r="E236" s="863"/>
      <c r="F236" s="889">
        <v>0.6</v>
      </c>
      <c r="G236" s="938">
        <f>F236*D236*C236</f>
        <v>0.72</v>
      </c>
      <c r="H236" s="900"/>
    </row>
    <row r="237" spans="1:8">
      <c r="A237" s="161"/>
      <c r="B237" s="886"/>
      <c r="C237" s="899"/>
      <c r="D237" s="898"/>
      <c r="E237" s="899"/>
      <c r="F237" s="886"/>
      <c r="G237" s="927">
        <f>SUM(G233:G236)</f>
        <v>7.5600000000000005</v>
      </c>
      <c r="H237" s="900"/>
    </row>
    <row r="238" spans="1:8">
      <c r="A238" s="161"/>
      <c r="B238" s="886"/>
      <c r="C238" s="899"/>
      <c r="D238" s="898"/>
      <c r="E238" s="899"/>
      <c r="F238" s="886"/>
      <c r="G238" s="973">
        <f>G231-G237</f>
        <v>46.305</v>
      </c>
      <c r="H238" s="940"/>
    </row>
    <row r="239" spans="1:8">
      <c r="A239" s="161"/>
      <c r="B239" s="886"/>
      <c r="C239" s="899"/>
      <c r="D239" s="898"/>
      <c r="E239" s="899"/>
      <c r="F239" s="886"/>
      <c r="G239" s="889">
        <f>G238*10%</f>
        <v>4.6305000000000005</v>
      </c>
      <c r="H239" s="940"/>
    </row>
    <row r="240" spans="1:8">
      <c r="A240" s="161"/>
      <c r="B240" s="886"/>
      <c r="C240" s="899"/>
      <c r="D240" s="898"/>
      <c r="E240" s="899"/>
      <c r="F240" s="886"/>
      <c r="G240" s="894">
        <f>G239+G238</f>
        <v>50.935499999999998</v>
      </c>
      <c r="H240" s="918" t="s">
        <v>32</v>
      </c>
    </row>
    <row r="241" spans="1:8">
      <c r="A241" s="161">
        <v>9</v>
      </c>
      <c r="B241" s="968" t="s">
        <v>1233</v>
      </c>
      <c r="C241" s="899"/>
      <c r="D241" s="877"/>
      <c r="E241" s="161"/>
      <c r="F241" s="855"/>
      <c r="G241" s="974"/>
      <c r="H241" s="926"/>
    </row>
    <row r="242" spans="1:8">
      <c r="A242" s="161"/>
      <c r="B242" s="936"/>
      <c r="C242" s="849">
        <v>1</v>
      </c>
      <c r="D242" s="860">
        <v>2.4750000000000001</v>
      </c>
      <c r="E242" s="849">
        <v>1.48</v>
      </c>
      <c r="F242" s="855"/>
      <c r="G242" s="863">
        <f>E242*D242*C242</f>
        <v>3.6630000000000003</v>
      </c>
      <c r="H242" s="926"/>
    </row>
    <row r="243" spans="1:8">
      <c r="A243" s="161"/>
      <c r="B243" s="936"/>
      <c r="C243" s="849">
        <v>1</v>
      </c>
      <c r="D243" s="860">
        <v>2.15</v>
      </c>
      <c r="E243" s="849">
        <v>1.48</v>
      </c>
      <c r="F243" s="935"/>
      <c r="G243" s="863">
        <f>E243*D243*C243</f>
        <v>3.1819999999999999</v>
      </c>
      <c r="H243" s="926"/>
    </row>
    <row r="244" spans="1:8">
      <c r="A244" s="161"/>
      <c r="B244" s="886"/>
      <c r="C244" s="899"/>
      <c r="D244" s="927"/>
      <c r="E244" s="935"/>
      <c r="F244" s="935"/>
      <c r="G244" s="927">
        <f>SUM(G242:G243)</f>
        <v>6.8450000000000006</v>
      </c>
      <c r="H244" s="926"/>
    </row>
    <row r="245" spans="1:8">
      <c r="A245" s="161"/>
      <c r="B245" s="886"/>
      <c r="C245" s="899"/>
      <c r="D245" s="927"/>
      <c r="E245" s="935"/>
      <c r="F245" s="899"/>
      <c r="G245" s="863">
        <f>G244*10%</f>
        <v>0.68450000000000011</v>
      </c>
      <c r="H245" s="926"/>
    </row>
    <row r="246" spans="1:8">
      <c r="A246" s="161"/>
      <c r="B246" s="936"/>
      <c r="C246" s="899"/>
      <c r="D246" s="898"/>
      <c r="E246" s="899"/>
      <c r="F246" s="899"/>
      <c r="G246" s="894">
        <f>G245+G244</f>
        <v>7.5295000000000005</v>
      </c>
      <c r="H246" s="918" t="s">
        <v>32</v>
      </c>
    </row>
    <row r="247" spans="1:8">
      <c r="A247" s="161">
        <v>10</v>
      </c>
      <c r="B247" s="968" t="s">
        <v>1434</v>
      </c>
      <c r="C247" s="899"/>
      <c r="D247" s="898"/>
      <c r="E247" s="899"/>
      <c r="F247" s="886"/>
      <c r="G247" s="974"/>
      <c r="H247" s="926"/>
    </row>
    <row r="248" spans="1:8">
      <c r="A248" s="161"/>
      <c r="B248" s="975" t="s">
        <v>1435</v>
      </c>
      <c r="C248" s="899">
        <v>1</v>
      </c>
      <c r="D248" s="927">
        <v>3.5</v>
      </c>
      <c r="E248" s="927">
        <v>3.58</v>
      </c>
      <c r="F248" s="886"/>
      <c r="G248" s="976">
        <f t="shared" ref="G248:G255" si="11">E248*D248*C248</f>
        <v>12.530000000000001</v>
      </c>
      <c r="H248" s="926"/>
    </row>
    <row r="249" spans="1:8">
      <c r="A249" s="161"/>
      <c r="B249" s="975" t="s">
        <v>1436</v>
      </c>
      <c r="C249" s="899">
        <v>1</v>
      </c>
      <c r="D249" s="927">
        <v>2.895</v>
      </c>
      <c r="E249" s="927">
        <v>7.13</v>
      </c>
      <c r="F249" s="886"/>
      <c r="G249" s="976">
        <f t="shared" si="11"/>
        <v>20.641349999999999</v>
      </c>
      <c r="H249" s="926"/>
    </row>
    <row r="250" spans="1:8">
      <c r="A250" s="161"/>
      <c r="B250" s="975" t="s">
        <v>1435</v>
      </c>
      <c r="C250" s="899">
        <v>1</v>
      </c>
      <c r="D250" s="927">
        <v>3.5</v>
      </c>
      <c r="E250" s="927">
        <v>3.18</v>
      </c>
      <c r="F250" s="886"/>
      <c r="G250" s="976">
        <f t="shared" si="11"/>
        <v>11.13</v>
      </c>
      <c r="H250" s="926"/>
    </row>
    <row r="251" spans="1:8">
      <c r="A251" s="161"/>
      <c r="B251" s="975" t="s">
        <v>1435</v>
      </c>
      <c r="C251" s="899">
        <v>1</v>
      </c>
      <c r="D251" s="927">
        <v>3.66</v>
      </c>
      <c r="E251" s="927">
        <v>3.6</v>
      </c>
      <c r="F251" s="886"/>
      <c r="G251" s="976">
        <f t="shared" si="11"/>
        <v>13.176</v>
      </c>
      <c r="H251" s="926"/>
    </row>
    <row r="252" spans="1:8">
      <c r="A252" s="161"/>
      <c r="B252" s="975" t="s">
        <v>1433</v>
      </c>
      <c r="C252" s="899">
        <v>1</v>
      </c>
      <c r="D252" s="927">
        <v>2.16</v>
      </c>
      <c r="E252" s="927">
        <v>3.08</v>
      </c>
      <c r="F252" s="886"/>
      <c r="G252" s="976">
        <f t="shared" si="11"/>
        <v>6.6528000000000009</v>
      </c>
      <c r="H252" s="926"/>
    </row>
    <row r="253" spans="1:8">
      <c r="A253" s="161"/>
      <c r="B253" s="975" t="s">
        <v>481</v>
      </c>
      <c r="C253" s="899">
        <v>2</v>
      </c>
      <c r="D253" s="927">
        <v>1</v>
      </c>
      <c r="E253" s="927">
        <v>0.15</v>
      </c>
      <c r="F253" s="886"/>
      <c r="G253" s="976">
        <f t="shared" si="11"/>
        <v>0.3</v>
      </c>
      <c r="H253" s="926"/>
    </row>
    <row r="254" spans="1:8">
      <c r="A254" s="161"/>
      <c r="B254" s="975" t="s">
        <v>1328</v>
      </c>
      <c r="C254" s="899">
        <v>1</v>
      </c>
      <c r="D254" s="927">
        <v>1.66</v>
      </c>
      <c r="E254" s="927">
        <v>0.6</v>
      </c>
      <c r="F254" s="886"/>
      <c r="G254" s="976">
        <f t="shared" si="11"/>
        <v>0.99599999999999989</v>
      </c>
      <c r="H254" s="926"/>
    </row>
    <row r="255" spans="1:8">
      <c r="A255" s="161"/>
      <c r="B255" s="977"/>
      <c r="C255" s="899">
        <v>1</v>
      </c>
      <c r="D255" s="927">
        <v>2.0550000000000002</v>
      </c>
      <c r="E255" s="927">
        <v>0.6</v>
      </c>
      <c r="F255" s="855"/>
      <c r="G255" s="976">
        <f t="shared" si="11"/>
        <v>1.2330000000000001</v>
      </c>
      <c r="H255" s="926"/>
    </row>
    <row r="256" spans="1:8">
      <c r="A256" s="901"/>
      <c r="B256" s="855"/>
      <c r="C256" s="849"/>
      <c r="D256" s="863"/>
      <c r="E256" s="863"/>
      <c r="F256" s="855"/>
      <c r="G256" s="978">
        <f>SUM(G248:G255)</f>
        <v>66.659150000000011</v>
      </c>
      <c r="H256" s="895"/>
    </row>
    <row r="257" spans="1:8">
      <c r="A257" s="901"/>
      <c r="B257" s="855"/>
      <c r="C257" s="849"/>
      <c r="D257" s="860"/>
      <c r="E257" s="849"/>
      <c r="F257" s="886"/>
      <c r="G257" s="978">
        <f>G256*10%</f>
        <v>6.6659150000000018</v>
      </c>
      <c r="H257" s="895"/>
    </row>
    <row r="258" spans="1:8">
      <c r="A258" s="161"/>
      <c r="B258" s="886"/>
      <c r="C258" s="899"/>
      <c r="D258" s="898"/>
      <c r="E258" s="899"/>
      <c r="F258" s="886"/>
      <c r="G258" s="979">
        <f>G257+G256</f>
        <v>73.325065000000009</v>
      </c>
      <c r="H258" s="918" t="s">
        <v>32</v>
      </c>
    </row>
    <row r="259" spans="1:8">
      <c r="A259" s="161">
        <v>12</v>
      </c>
      <c r="B259" s="884" t="s">
        <v>1370</v>
      </c>
      <c r="C259" s="899"/>
      <c r="D259" s="898"/>
      <c r="E259" s="899"/>
      <c r="F259" s="886"/>
      <c r="G259" s="908"/>
      <c r="H259" s="900"/>
    </row>
    <row r="260" spans="1:8">
      <c r="A260" s="161"/>
      <c r="B260" s="936" t="s">
        <v>1051</v>
      </c>
      <c r="C260" s="899"/>
      <c r="D260" s="898"/>
      <c r="E260" s="899"/>
      <c r="F260" s="886"/>
      <c r="G260" s="908"/>
      <c r="H260" s="900"/>
    </row>
    <row r="261" spans="1:8">
      <c r="A261" s="161"/>
      <c r="B261" s="855" t="s">
        <v>1012</v>
      </c>
      <c r="C261" s="899"/>
      <c r="D261" s="898"/>
      <c r="E261" s="899"/>
      <c r="G261" s="908"/>
      <c r="H261" s="900"/>
    </row>
    <row r="262" spans="1:8">
      <c r="A262" s="161"/>
      <c r="B262" s="855" t="s">
        <v>1437</v>
      </c>
      <c r="C262" s="899">
        <v>1</v>
      </c>
      <c r="D262" s="863">
        <f>+(3.5+3.9)*2</f>
        <v>14.8</v>
      </c>
      <c r="E262" s="899"/>
      <c r="F262" s="898">
        <v>2.875</v>
      </c>
      <c r="G262" s="935">
        <f t="shared" ref="G262:G268" si="12">F262*D262*C262</f>
        <v>42.550000000000004</v>
      </c>
      <c r="H262" s="900"/>
    </row>
    <row r="263" spans="1:8">
      <c r="A263" s="161"/>
      <c r="B263" s="855" t="s">
        <v>1436</v>
      </c>
      <c r="C263" s="899">
        <v>1</v>
      </c>
      <c r="D263" s="863">
        <f>2*(2.895+7.13)</f>
        <v>20.05</v>
      </c>
      <c r="E263" s="899"/>
      <c r="F263" s="898">
        <v>2.875</v>
      </c>
      <c r="G263" s="935">
        <f t="shared" si="12"/>
        <v>57.643750000000004</v>
      </c>
      <c r="H263" s="900"/>
    </row>
    <row r="264" spans="1:8">
      <c r="A264" s="161"/>
      <c r="B264" s="855" t="s">
        <v>1437</v>
      </c>
      <c r="C264" s="899">
        <v>1</v>
      </c>
      <c r="D264" s="863">
        <f>+(3.66+3.6)*2</f>
        <v>14.52</v>
      </c>
      <c r="E264" s="899"/>
      <c r="F264" s="898">
        <v>2.875</v>
      </c>
      <c r="G264" s="935">
        <f t="shared" si="12"/>
        <v>41.744999999999997</v>
      </c>
      <c r="H264" s="900"/>
    </row>
    <row r="265" spans="1:8">
      <c r="A265" s="161"/>
      <c r="B265" s="855" t="s">
        <v>1437</v>
      </c>
      <c r="C265" s="899">
        <v>1</v>
      </c>
      <c r="D265" s="863">
        <f>+(3.5+3.18)*2</f>
        <v>13.36</v>
      </c>
      <c r="E265" s="899"/>
      <c r="F265" s="898">
        <v>2.875</v>
      </c>
      <c r="G265" s="935">
        <f t="shared" si="12"/>
        <v>38.409999999999997</v>
      </c>
      <c r="H265" s="900"/>
    </row>
    <row r="266" spans="1:8">
      <c r="A266" s="161"/>
      <c r="B266" s="855" t="s">
        <v>1438</v>
      </c>
      <c r="C266" s="899">
        <v>1</v>
      </c>
      <c r="D266" s="863">
        <v>0.9</v>
      </c>
      <c r="E266" s="899"/>
      <c r="F266" s="898">
        <v>2.875</v>
      </c>
      <c r="G266" s="935">
        <f t="shared" si="12"/>
        <v>2.5874999999999999</v>
      </c>
      <c r="H266" s="900"/>
    </row>
    <row r="267" spans="1:8">
      <c r="A267" s="161"/>
      <c r="B267" s="855"/>
      <c r="C267" s="899">
        <v>1</v>
      </c>
      <c r="D267" s="927">
        <v>0.9</v>
      </c>
      <c r="E267" s="899"/>
      <c r="F267" s="898">
        <v>2.875</v>
      </c>
      <c r="G267" s="935">
        <f t="shared" si="12"/>
        <v>2.5874999999999999</v>
      </c>
      <c r="H267" s="900"/>
    </row>
    <row r="268" spans="1:8">
      <c r="A268" s="161"/>
      <c r="B268" s="855"/>
      <c r="C268" s="899">
        <v>1</v>
      </c>
      <c r="D268" s="927">
        <v>0.9</v>
      </c>
      <c r="E268" s="899"/>
      <c r="F268" s="898">
        <v>2.875</v>
      </c>
      <c r="G268" s="935">
        <f t="shared" si="12"/>
        <v>2.5874999999999999</v>
      </c>
      <c r="H268" s="900"/>
    </row>
    <row r="269" spans="1:8">
      <c r="A269" s="161"/>
      <c r="B269" s="855" t="s">
        <v>1164</v>
      </c>
      <c r="C269" s="899"/>
      <c r="D269" s="927"/>
      <c r="E269" s="899"/>
      <c r="F269" s="898"/>
      <c r="G269" s="935"/>
      <c r="H269" s="900"/>
    </row>
    <row r="270" spans="1:8">
      <c r="A270" s="161"/>
      <c r="B270" s="855"/>
      <c r="C270" s="899">
        <v>1</v>
      </c>
      <c r="D270" s="927">
        <v>4.3499999999999996</v>
      </c>
      <c r="E270" s="899"/>
      <c r="F270" s="899">
        <v>0.9</v>
      </c>
      <c r="G270" s="935">
        <f>F270*D270*C270</f>
        <v>3.9149999999999996</v>
      </c>
      <c r="H270" s="900"/>
    </row>
    <row r="271" spans="1:8">
      <c r="A271" s="161"/>
      <c r="B271" s="855"/>
      <c r="C271" s="899">
        <v>1</v>
      </c>
      <c r="D271" s="927">
        <v>1.36</v>
      </c>
      <c r="E271" s="899"/>
      <c r="F271" s="899">
        <v>0.9</v>
      </c>
      <c r="G271" s="935">
        <f t="shared" ref="G271:G283" si="13">F271*D271*C271</f>
        <v>1.2240000000000002</v>
      </c>
      <c r="H271" s="900"/>
    </row>
    <row r="272" spans="1:8">
      <c r="A272" s="161"/>
      <c r="B272" s="855"/>
      <c r="C272" s="899">
        <v>1</v>
      </c>
      <c r="D272" s="927">
        <v>4.6550000000000002</v>
      </c>
      <c r="E272" s="899"/>
      <c r="F272" s="899">
        <v>0.9</v>
      </c>
      <c r="G272" s="935">
        <f t="shared" si="13"/>
        <v>4.1895000000000007</v>
      </c>
      <c r="H272" s="900"/>
    </row>
    <row r="273" spans="1:8">
      <c r="A273" s="161"/>
      <c r="B273" s="855"/>
      <c r="C273" s="899">
        <v>1</v>
      </c>
      <c r="D273" s="927">
        <v>1.28</v>
      </c>
      <c r="E273" s="899"/>
      <c r="F273" s="899">
        <v>0.9</v>
      </c>
      <c r="G273" s="935">
        <f t="shared" si="13"/>
        <v>1.1520000000000001</v>
      </c>
      <c r="H273" s="900"/>
    </row>
    <row r="274" spans="1:8">
      <c r="A274" s="161"/>
      <c r="B274" s="855"/>
      <c r="C274" s="899">
        <v>1</v>
      </c>
      <c r="D274" s="927">
        <v>2.4</v>
      </c>
      <c r="E274" s="899"/>
      <c r="F274" s="899">
        <v>0.9</v>
      </c>
      <c r="G274" s="935">
        <f t="shared" si="13"/>
        <v>2.16</v>
      </c>
      <c r="H274" s="900"/>
    </row>
    <row r="275" spans="1:8">
      <c r="A275" s="161"/>
      <c r="B275" s="855"/>
      <c r="C275" s="899">
        <v>1</v>
      </c>
      <c r="D275" s="927">
        <v>5.45</v>
      </c>
      <c r="E275" s="899"/>
      <c r="F275" s="899">
        <v>0.9</v>
      </c>
      <c r="G275" s="935">
        <f t="shared" si="13"/>
        <v>4.9050000000000002</v>
      </c>
      <c r="H275" s="900"/>
    </row>
    <row r="276" spans="1:8">
      <c r="A276" s="161"/>
      <c r="B276" s="855"/>
      <c r="C276" s="899">
        <v>1</v>
      </c>
      <c r="D276" s="927">
        <v>1.5</v>
      </c>
      <c r="E276" s="899"/>
      <c r="F276" s="899">
        <v>0.9</v>
      </c>
      <c r="G276" s="935">
        <f t="shared" si="13"/>
        <v>1.35</v>
      </c>
      <c r="H276" s="900"/>
    </row>
    <row r="277" spans="1:8">
      <c r="A277" s="161"/>
      <c r="B277" s="855"/>
      <c r="C277" s="899">
        <v>1</v>
      </c>
      <c r="D277" s="927">
        <v>3.2050000000000001</v>
      </c>
      <c r="E277" s="899"/>
      <c r="F277" s="899">
        <v>0.9</v>
      </c>
      <c r="G277" s="935">
        <f t="shared" si="13"/>
        <v>2.8845000000000001</v>
      </c>
      <c r="H277" s="900"/>
    </row>
    <row r="278" spans="1:8">
      <c r="A278" s="161"/>
      <c r="B278" s="855"/>
      <c r="C278" s="899">
        <v>1</v>
      </c>
      <c r="D278" s="927">
        <v>9.9049999999999994</v>
      </c>
      <c r="E278" s="899"/>
      <c r="F278" s="899">
        <v>0.9</v>
      </c>
      <c r="G278" s="935">
        <f t="shared" si="13"/>
        <v>8.9145000000000003</v>
      </c>
      <c r="H278" s="900"/>
    </row>
    <row r="279" spans="1:8">
      <c r="A279" s="161"/>
      <c r="B279" s="855"/>
      <c r="C279" s="899">
        <v>1</v>
      </c>
      <c r="D279" s="927">
        <v>1.2549999999999999</v>
      </c>
      <c r="E279" s="899"/>
      <c r="F279" s="899">
        <v>0.9</v>
      </c>
      <c r="G279" s="935">
        <f t="shared" si="13"/>
        <v>1.1294999999999999</v>
      </c>
      <c r="H279" s="900"/>
    </row>
    <row r="280" spans="1:8">
      <c r="A280" s="161"/>
      <c r="B280" s="855"/>
      <c r="C280" s="899">
        <v>1</v>
      </c>
      <c r="D280" s="927">
        <v>0.6</v>
      </c>
      <c r="E280" s="899"/>
      <c r="F280" s="899">
        <v>0.9</v>
      </c>
      <c r="G280" s="935">
        <f t="shared" si="13"/>
        <v>0.54</v>
      </c>
      <c r="H280" s="900"/>
    </row>
    <row r="281" spans="1:8">
      <c r="A281" s="161"/>
      <c r="B281" s="855"/>
      <c r="C281" s="899">
        <v>1</v>
      </c>
      <c r="D281" s="927">
        <v>5.83</v>
      </c>
      <c r="E281" s="899"/>
      <c r="F281" s="899">
        <v>0.9</v>
      </c>
      <c r="G281" s="935">
        <f t="shared" si="13"/>
        <v>5.2469999999999999</v>
      </c>
      <c r="H281" s="900"/>
    </row>
    <row r="282" spans="1:8">
      <c r="A282" s="161"/>
      <c r="B282" s="855"/>
      <c r="C282" s="899">
        <v>1</v>
      </c>
      <c r="D282" s="927">
        <v>0.6</v>
      </c>
      <c r="E282" s="899"/>
      <c r="F282" s="899">
        <v>0.9</v>
      </c>
      <c r="G282" s="935">
        <f t="shared" si="13"/>
        <v>0.54</v>
      </c>
      <c r="H282" s="900"/>
    </row>
    <row r="283" spans="1:8">
      <c r="A283" s="161"/>
      <c r="B283" s="855"/>
      <c r="C283" s="899">
        <v>1</v>
      </c>
      <c r="D283" s="927">
        <v>1.655</v>
      </c>
      <c r="E283" s="899"/>
      <c r="F283" s="899">
        <v>0.9</v>
      </c>
      <c r="G283" s="935">
        <f t="shared" si="13"/>
        <v>1.4895</v>
      </c>
      <c r="H283" s="900"/>
    </row>
    <row r="284" spans="1:8">
      <c r="A284" s="161"/>
      <c r="B284" s="855"/>
      <c r="C284" s="899"/>
      <c r="D284" s="927"/>
      <c r="E284" s="899"/>
      <c r="F284" s="886"/>
      <c r="G284" s="946">
        <f>SUM(G262:G283)</f>
        <v>227.75174999999996</v>
      </c>
      <c r="H284" s="900"/>
    </row>
    <row r="285" spans="1:8">
      <c r="A285" s="161"/>
      <c r="B285" s="855" t="s">
        <v>1021</v>
      </c>
      <c r="C285" s="899"/>
      <c r="D285" s="927"/>
      <c r="E285" s="899"/>
      <c r="G285" s="908"/>
      <c r="H285" s="900"/>
    </row>
    <row r="286" spans="1:8">
      <c r="A286" s="161"/>
      <c r="B286" s="855" t="s">
        <v>1357</v>
      </c>
      <c r="C286" s="899">
        <v>1</v>
      </c>
      <c r="D286" s="927">
        <v>1</v>
      </c>
      <c r="E286" s="899"/>
      <c r="F286" s="898">
        <v>2.1</v>
      </c>
      <c r="G286" s="898">
        <f t="shared" ref="G286:G293" si="14">F286*D286*C286</f>
        <v>2.1</v>
      </c>
      <c r="H286" s="900"/>
    </row>
    <row r="287" spans="1:8">
      <c r="A287" s="161"/>
      <c r="B287" s="855" t="s">
        <v>1358</v>
      </c>
      <c r="C287" s="899">
        <v>2</v>
      </c>
      <c r="D287" s="927">
        <v>0.9</v>
      </c>
      <c r="E287" s="899"/>
      <c r="F287" s="898">
        <v>2.1</v>
      </c>
      <c r="G287" s="898">
        <f t="shared" si="14"/>
        <v>3.7800000000000002</v>
      </c>
      <c r="H287" s="900"/>
    </row>
    <row r="288" spans="1:8">
      <c r="A288" s="161"/>
      <c r="B288" s="855"/>
      <c r="C288" s="899">
        <v>2</v>
      </c>
      <c r="D288" s="927">
        <v>0.9</v>
      </c>
      <c r="E288" s="899"/>
      <c r="F288" s="898">
        <v>2.1</v>
      </c>
      <c r="G288" s="898">
        <f t="shared" si="14"/>
        <v>3.7800000000000002</v>
      </c>
      <c r="H288" s="900"/>
    </row>
    <row r="289" spans="1:8">
      <c r="A289" s="161"/>
      <c r="B289" s="855"/>
      <c r="C289" s="899">
        <v>2</v>
      </c>
      <c r="D289" s="927">
        <v>0.9</v>
      </c>
      <c r="E289" s="899"/>
      <c r="F289" s="898">
        <v>2.1</v>
      </c>
      <c r="G289" s="898">
        <f t="shared" si="14"/>
        <v>3.7800000000000002</v>
      </c>
      <c r="H289" s="900"/>
    </row>
    <row r="290" spans="1:8">
      <c r="A290" s="161"/>
      <c r="B290" s="855"/>
      <c r="C290" s="899">
        <v>1</v>
      </c>
      <c r="D290" s="927">
        <v>0.9</v>
      </c>
      <c r="E290" s="899"/>
      <c r="F290" s="898">
        <v>2.1</v>
      </c>
      <c r="G290" s="898">
        <f t="shared" si="14"/>
        <v>1.8900000000000001</v>
      </c>
      <c r="H290" s="900"/>
    </row>
    <row r="291" spans="1:8">
      <c r="A291" s="161"/>
      <c r="B291" s="855" t="s">
        <v>1359</v>
      </c>
      <c r="C291" s="899">
        <v>2</v>
      </c>
      <c r="D291" s="927">
        <v>0.75</v>
      </c>
      <c r="E291" s="899"/>
      <c r="F291" s="898">
        <v>2.1</v>
      </c>
      <c r="G291" s="898">
        <f t="shared" si="14"/>
        <v>3.1500000000000004</v>
      </c>
      <c r="H291" s="900"/>
    </row>
    <row r="292" spans="1:8">
      <c r="A292" s="161"/>
      <c r="B292" s="855" t="s">
        <v>1224</v>
      </c>
      <c r="C292" s="899">
        <v>4</v>
      </c>
      <c r="D292" s="927">
        <v>1.6</v>
      </c>
      <c r="E292" s="899"/>
      <c r="F292" s="898">
        <v>1.5</v>
      </c>
      <c r="G292" s="898">
        <f t="shared" si="14"/>
        <v>9.6000000000000014</v>
      </c>
      <c r="H292" s="900"/>
    </row>
    <row r="293" spans="1:8">
      <c r="A293" s="161"/>
      <c r="B293" s="855" t="s">
        <v>1361</v>
      </c>
      <c r="C293" s="899">
        <v>1</v>
      </c>
      <c r="D293" s="927">
        <v>1.2</v>
      </c>
      <c r="E293" s="899"/>
      <c r="F293" s="898">
        <v>1.5</v>
      </c>
      <c r="G293" s="898">
        <f t="shared" si="14"/>
        <v>1.7999999999999998</v>
      </c>
      <c r="H293" s="900"/>
    </row>
    <row r="294" spans="1:8">
      <c r="A294" s="161"/>
      <c r="B294" s="855"/>
      <c r="C294" s="899"/>
      <c r="D294" s="898"/>
      <c r="E294" s="899"/>
      <c r="F294" s="898"/>
      <c r="G294" s="898">
        <f>SUM(G286:G293)</f>
        <v>29.880000000000006</v>
      </c>
      <c r="H294" s="900"/>
    </row>
    <row r="295" spans="1:8">
      <c r="A295" s="161"/>
      <c r="B295" s="886"/>
      <c r="C295" s="899"/>
      <c r="D295" s="898"/>
      <c r="E295" s="898"/>
      <c r="F295" s="898"/>
      <c r="G295" s="927"/>
      <c r="H295" s="900"/>
    </row>
    <row r="296" spans="1:8">
      <c r="A296" s="161"/>
      <c r="B296" s="886"/>
      <c r="C296" s="899"/>
      <c r="D296" s="898"/>
      <c r="E296" s="898"/>
      <c r="F296" s="898"/>
      <c r="G296" s="927">
        <f>G284-G294</f>
        <v>197.87174999999996</v>
      </c>
      <c r="H296" s="900"/>
    </row>
    <row r="297" spans="1:8">
      <c r="A297" s="161"/>
      <c r="B297" s="886"/>
      <c r="C297" s="899"/>
      <c r="D297" s="898"/>
      <c r="E297" s="898"/>
      <c r="F297" s="898"/>
      <c r="G297" s="889">
        <f>G296*10%</f>
        <v>19.787174999999998</v>
      </c>
      <c r="H297" s="900"/>
    </row>
    <row r="298" spans="1:8">
      <c r="A298" s="161"/>
      <c r="B298" s="886"/>
      <c r="C298" s="899"/>
      <c r="D298" s="898"/>
      <c r="E298" s="898"/>
      <c r="F298" s="898"/>
      <c r="G298" s="894">
        <f>G297+G296</f>
        <v>217.65892499999995</v>
      </c>
      <c r="H298" s="918" t="s">
        <v>32</v>
      </c>
    </row>
    <row r="299" spans="1:8" ht="15">
      <c r="A299" s="161">
        <v>13</v>
      </c>
      <c r="B299" s="884" t="s">
        <v>1369</v>
      </c>
      <c r="C299" s="899"/>
      <c r="D299" s="860"/>
      <c r="E299" s="899"/>
      <c r="F299" s="886"/>
      <c r="G299" s="967"/>
      <c r="H299" s="926"/>
    </row>
    <row r="300" spans="1:8">
      <c r="A300" s="161"/>
      <c r="B300" s="936" t="s">
        <v>1439</v>
      </c>
      <c r="C300" s="899"/>
      <c r="D300" s="898"/>
      <c r="E300" s="899"/>
      <c r="G300" s="908"/>
      <c r="H300" s="900"/>
    </row>
    <row r="301" spans="1:8">
      <c r="A301" s="161"/>
      <c r="B301" s="936"/>
      <c r="C301" s="899">
        <v>1</v>
      </c>
      <c r="D301" s="927">
        <v>4.3499999999999996</v>
      </c>
      <c r="E301" s="899"/>
      <c r="F301" s="899">
        <v>3</v>
      </c>
      <c r="G301" s="960">
        <f>F301*D301*C301</f>
        <v>13.049999999999999</v>
      </c>
      <c r="H301" s="900"/>
    </row>
    <row r="302" spans="1:8">
      <c r="A302" s="161"/>
      <c r="B302" s="936"/>
      <c r="C302" s="899">
        <v>1</v>
      </c>
      <c r="D302" s="927">
        <v>1.36</v>
      </c>
      <c r="E302" s="899"/>
      <c r="F302" s="899">
        <v>3</v>
      </c>
      <c r="G302" s="960">
        <f t="shared" ref="G302:G314" si="15">F302*D302*C302</f>
        <v>4.08</v>
      </c>
      <c r="H302" s="900"/>
    </row>
    <row r="303" spans="1:8">
      <c r="A303" s="161"/>
      <c r="B303" s="936"/>
      <c r="C303" s="899">
        <v>1</v>
      </c>
      <c r="D303" s="927">
        <v>4.6550000000000002</v>
      </c>
      <c r="E303" s="899"/>
      <c r="F303" s="899">
        <v>3</v>
      </c>
      <c r="G303" s="960">
        <f t="shared" si="15"/>
        <v>13.965</v>
      </c>
      <c r="H303" s="900"/>
    </row>
    <row r="304" spans="1:8">
      <c r="A304" s="161"/>
      <c r="B304" s="936"/>
      <c r="C304" s="899">
        <v>1</v>
      </c>
      <c r="D304" s="927">
        <v>1.28</v>
      </c>
      <c r="E304" s="899"/>
      <c r="F304" s="899">
        <v>3</v>
      </c>
      <c r="G304" s="960">
        <f t="shared" si="15"/>
        <v>3.84</v>
      </c>
      <c r="H304" s="900"/>
    </row>
    <row r="305" spans="1:8">
      <c r="A305" s="161"/>
      <c r="B305" s="936"/>
      <c r="C305" s="899">
        <v>1</v>
      </c>
      <c r="D305" s="927">
        <v>2.4</v>
      </c>
      <c r="E305" s="899"/>
      <c r="F305" s="899">
        <v>3</v>
      </c>
      <c r="G305" s="960">
        <f t="shared" si="15"/>
        <v>7.1999999999999993</v>
      </c>
      <c r="H305" s="900"/>
    </row>
    <row r="306" spans="1:8">
      <c r="A306" s="161"/>
      <c r="B306" s="936"/>
      <c r="C306" s="899">
        <v>1</v>
      </c>
      <c r="D306" s="927">
        <v>5.45</v>
      </c>
      <c r="E306" s="899"/>
      <c r="F306" s="899">
        <v>3</v>
      </c>
      <c r="G306" s="960">
        <f t="shared" si="15"/>
        <v>16.350000000000001</v>
      </c>
      <c r="H306" s="900"/>
    </row>
    <row r="307" spans="1:8">
      <c r="A307" s="161"/>
      <c r="B307" s="936"/>
      <c r="C307" s="899">
        <v>1</v>
      </c>
      <c r="D307" s="927">
        <v>1.5</v>
      </c>
      <c r="E307" s="899"/>
      <c r="F307" s="899">
        <v>3</v>
      </c>
      <c r="G307" s="960">
        <f t="shared" si="15"/>
        <v>4.5</v>
      </c>
      <c r="H307" s="900"/>
    </row>
    <row r="308" spans="1:8">
      <c r="A308" s="161"/>
      <c r="B308" s="936"/>
      <c r="C308" s="899">
        <v>1</v>
      </c>
      <c r="D308" s="927">
        <v>3.2050000000000001</v>
      </c>
      <c r="E308" s="899"/>
      <c r="F308" s="899">
        <v>3</v>
      </c>
      <c r="G308" s="960">
        <f t="shared" si="15"/>
        <v>9.6150000000000002</v>
      </c>
      <c r="H308" s="900"/>
    </row>
    <row r="309" spans="1:8">
      <c r="A309" s="161"/>
      <c r="B309" s="936"/>
      <c r="C309" s="899">
        <v>1</v>
      </c>
      <c r="D309" s="927">
        <v>9.9049999999999994</v>
      </c>
      <c r="E309" s="899"/>
      <c r="F309" s="899">
        <v>3</v>
      </c>
      <c r="G309" s="960">
        <f t="shared" si="15"/>
        <v>29.714999999999996</v>
      </c>
      <c r="H309" s="900"/>
    </row>
    <row r="310" spans="1:8">
      <c r="A310" s="161"/>
      <c r="B310" s="936"/>
      <c r="C310" s="899">
        <v>1</v>
      </c>
      <c r="D310" s="927">
        <v>1.2549999999999999</v>
      </c>
      <c r="E310" s="899"/>
      <c r="F310" s="899">
        <v>3</v>
      </c>
      <c r="G310" s="960">
        <f t="shared" si="15"/>
        <v>3.7649999999999997</v>
      </c>
      <c r="H310" s="900"/>
    </row>
    <row r="311" spans="1:8">
      <c r="A311" s="161"/>
      <c r="B311" s="936"/>
      <c r="C311" s="899">
        <v>1</v>
      </c>
      <c r="D311" s="927">
        <v>0.6</v>
      </c>
      <c r="E311" s="899"/>
      <c r="F311" s="899">
        <v>3</v>
      </c>
      <c r="G311" s="960">
        <f t="shared" si="15"/>
        <v>1.7999999999999998</v>
      </c>
      <c r="H311" s="900"/>
    </row>
    <row r="312" spans="1:8">
      <c r="A312" s="161"/>
      <c r="B312" s="936"/>
      <c r="C312" s="899">
        <v>1</v>
      </c>
      <c r="D312" s="927">
        <v>5.83</v>
      </c>
      <c r="E312" s="899"/>
      <c r="F312" s="899">
        <v>3</v>
      </c>
      <c r="G312" s="960">
        <f t="shared" si="15"/>
        <v>17.490000000000002</v>
      </c>
      <c r="H312" s="900"/>
    </row>
    <row r="313" spans="1:8">
      <c r="A313" s="161"/>
      <c r="B313" s="936"/>
      <c r="C313" s="899">
        <v>1</v>
      </c>
      <c r="D313" s="927">
        <v>0.6</v>
      </c>
      <c r="E313" s="899"/>
      <c r="F313" s="899">
        <v>3</v>
      </c>
      <c r="G313" s="960">
        <f t="shared" si="15"/>
        <v>1.7999999999999998</v>
      </c>
      <c r="H313" s="900"/>
    </row>
    <row r="314" spans="1:8">
      <c r="A314" s="161"/>
      <c r="B314" s="936"/>
      <c r="C314" s="899">
        <v>1</v>
      </c>
      <c r="D314" s="927">
        <v>1.655</v>
      </c>
      <c r="E314" s="899"/>
      <c r="F314" s="899">
        <v>3</v>
      </c>
      <c r="G314" s="960">
        <f t="shared" si="15"/>
        <v>4.9649999999999999</v>
      </c>
      <c r="H314" s="900"/>
    </row>
    <row r="315" spans="1:8">
      <c r="A315" s="161"/>
      <c r="B315" s="936" t="s">
        <v>1164</v>
      </c>
      <c r="C315" s="899"/>
      <c r="D315" s="927"/>
      <c r="E315" s="899"/>
      <c r="G315" s="908"/>
      <c r="H315" s="900"/>
    </row>
    <row r="316" spans="1:8">
      <c r="A316" s="161"/>
      <c r="B316" s="936"/>
      <c r="C316" s="899">
        <v>1</v>
      </c>
      <c r="D316" s="927">
        <v>4.3499999999999996</v>
      </c>
      <c r="E316" s="899"/>
      <c r="F316" s="899">
        <v>1.1499999999999999</v>
      </c>
      <c r="G316" s="946">
        <f>F316*D316*C316</f>
        <v>5.0024999999999995</v>
      </c>
      <c r="H316" s="900"/>
    </row>
    <row r="317" spans="1:8">
      <c r="A317" s="161"/>
      <c r="B317" s="936"/>
      <c r="C317" s="899">
        <v>1</v>
      </c>
      <c r="D317" s="927">
        <v>1.36</v>
      </c>
      <c r="E317" s="899"/>
      <c r="F317" s="899">
        <v>1.1499999999999999</v>
      </c>
      <c r="G317" s="946">
        <f t="shared" ref="G317:G329" si="16">F317*D317*C317</f>
        <v>1.5640000000000001</v>
      </c>
      <c r="H317" s="900"/>
    </row>
    <row r="318" spans="1:8">
      <c r="A318" s="161"/>
      <c r="B318" s="936"/>
      <c r="C318" s="899">
        <v>1</v>
      </c>
      <c r="D318" s="927">
        <v>4.6550000000000002</v>
      </c>
      <c r="E318" s="899"/>
      <c r="F318" s="899">
        <v>1.1499999999999999</v>
      </c>
      <c r="G318" s="946">
        <f t="shared" si="16"/>
        <v>5.3532500000000001</v>
      </c>
      <c r="H318" s="900"/>
    </row>
    <row r="319" spans="1:8">
      <c r="A319" s="161"/>
      <c r="B319" s="936"/>
      <c r="C319" s="899">
        <v>1</v>
      </c>
      <c r="D319" s="927">
        <v>1.28</v>
      </c>
      <c r="E319" s="899"/>
      <c r="F319" s="899">
        <v>1.1499999999999999</v>
      </c>
      <c r="G319" s="946">
        <f t="shared" si="16"/>
        <v>1.472</v>
      </c>
      <c r="H319" s="900"/>
    </row>
    <row r="320" spans="1:8">
      <c r="A320" s="161"/>
      <c r="B320" s="936"/>
      <c r="C320" s="899">
        <v>1</v>
      </c>
      <c r="D320" s="927">
        <v>2.4</v>
      </c>
      <c r="E320" s="899"/>
      <c r="F320" s="899">
        <v>1.1499999999999999</v>
      </c>
      <c r="G320" s="946">
        <f t="shared" si="16"/>
        <v>2.76</v>
      </c>
      <c r="H320" s="900"/>
    </row>
    <row r="321" spans="1:8">
      <c r="A321" s="161"/>
      <c r="B321" s="936"/>
      <c r="C321" s="899">
        <v>1</v>
      </c>
      <c r="D321" s="927">
        <v>5.45</v>
      </c>
      <c r="E321" s="899"/>
      <c r="F321" s="899">
        <v>1.1499999999999999</v>
      </c>
      <c r="G321" s="946">
        <f t="shared" si="16"/>
        <v>6.2675000000000001</v>
      </c>
      <c r="H321" s="900"/>
    </row>
    <row r="322" spans="1:8">
      <c r="A322" s="161"/>
      <c r="B322" s="936"/>
      <c r="C322" s="899">
        <v>1</v>
      </c>
      <c r="D322" s="927">
        <v>1.5</v>
      </c>
      <c r="E322" s="899"/>
      <c r="F322" s="899">
        <v>1.1499999999999999</v>
      </c>
      <c r="G322" s="946">
        <f t="shared" si="16"/>
        <v>1.7249999999999999</v>
      </c>
      <c r="H322" s="900"/>
    </row>
    <row r="323" spans="1:8">
      <c r="A323" s="161"/>
      <c r="B323" s="936"/>
      <c r="C323" s="899">
        <v>1</v>
      </c>
      <c r="D323" s="927">
        <v>3.2050000000000001</v>
      </c>
      <c r="E323" s="899"/>
      <c r="F323" s="899">
        <v>1.1499999999999999</v>
      </c>
      <c r="G323" s="946">
        <f t="shared" si="16"/>
        <v>3.6857499999999996</v>
      </c>
      <c r="H323" s="900"/>
    </row>
    <row r="324" spans="1:8">
      <c r="A324" s="161"/>
      <c r="B324" s="936"/>
      <c r="C324" s="899">
        <v>1</v>
      </c>
      <c r="D324" s="927">
        <v>9.9049999999999994</v>
      </c>
      <c r="E324" s="899"/>
      <c r="F324" s="899">
        <v>1.1499999999999999</v>
      </c>
      <c r="G324" s="946">
        <f t="shared" si="16"/>
        <v>11.390749999999999</v>
      </c>
      <c r="H324" s="900"/>
    </row>
    <row r="325" spans="1:8">
      <c r="A325" s="161"/>
      <c r="B325" s="936"/>
      <c r="C325" s="899">
        <v>1</v>
      </c>
      <c r="D325" s="927">
        <v>1.2549999999999999</v>
      </c>
      <c r="E325" s="899"/>
      <c r="F325" s="899">
        <v>1.1499999999999999</v>
      </c>
      <c r="G325" s="946">
        <f t="shared" si="16"/>
        <v>1.4432499999999997</v>
      </c>
      <c r="H325" s="900"/>
    </row>
    <row r="326" spans="1:8">
      <c r="A326" s="161"/>
      <c r="B326" s="936"/>
      <c r="C326" s="899">
        <v>1</v>
      </c>
      <c r="D326" s="927">
        <v>0.6</v>
      </c>
      <c r="E326" s="899"/>
      <c r="F326" s="899">
        <v>1.1499999999999999</v>
      </c>
      <c r="G326" s="946">
        <f t="shared" si="16"/>
        <v>0.69</v>
      </c>
      <c r="H326" s="900"/>
    </row>
    <row r="327" spans="1:8">
      <c r="A327" s="161"/>
      <c r="B327" s="936"/>
      <c r="C327" s="899">
        <v>1</v>
      </c>
      <c r="D327" s="927">
        <v>5.83</v>
      </c>
      <c r="E327" s="899"/>
      <c r="F327" s="899">
        <v>1.1499999999999999</v>
      </c>
      <c r="G327" s="946">
        <f t="shared" si="16"/>
        <v>6.7044999999999995</v>
      </c>
      <c r="H327" s="900"/>
    </row>
    <row r="328" spans="1:8">
      <c r="A328" s="161"/>
      <c r="B328" s="936"/>
      <c r="C328" s="899">
        <v>1</v>
      </c>
      <c r="D328" s="927">
        <v>0.6</v>
      </c>
      <c r="E328" s="899"/>
      <c r="F328" s="899">
        <v>1.1499999999999999</v>
      </c>
      <c r="G328" s="946">
        <f t="shared" si="16"/>
        <v>0.69</v>
      </c>
      <c r="H328" s="900"/>
    </row>
    <row r="329" spans="1:8">
      <c r="A329" s="161"/>
      <c r="B329" s="936"/>
      <c r="C329" s="899">
        <v>1</v>
      </c>
      <c r="D329" s="927">
        <v>1.655</v>
      </c>
      <c r="E329" s="899"/>
      <c r="F329" s="899">
        <v>1.1499999999999999</v>
      </c>
      <c r="G329" s="946">
        <f t="shared" si="16"/>
        <v>1.9032499999999999</v>
      </c>
      <c r="H329" s="900"/>
    </row>
    <row r="330" spans="1:8">
      <c r="A330" s="161"/>
      <c r="B330" s="936"/>
      <c r="C330" s="899"/>
      <c r="D330" s="980"/>
      <c r="E330" s="899"/>
      <c r="F330" s="886"/>
      <c r="G330" s="946">
        <f>SUM(G301:G329)</f>
        <v>182.78674999999998</v>
      </c>
      <c r="H330" s="900"/>
    </row>
    <row r="331" spans="1:8">
      <c r="A331" s="161"/>
      <c r="B331" s="877" t="s">
        <v>1021</v>
      </c>
      <c r="C331" s="899"/>
      <c r="D331" s="980"/>
      <c r="E331" s="899"/>
      <c r="G331" s="981"/>
      <c r="H331" s="900"/>
    </row>
    <row r="332" spans="1:8">
      <c r="A332" s="161"/>
      <c r="B332" s="877" t="s">
        <v>1224</v>
      </c>
      <c r="C332" s="899">
        <v>4</v>
      </c>
      <c r="D332" s="927">
        <v>1.6</v>
      </c>
      <c r="E332" s="899"/>
      <c r="F332" s="927">
        <v>1.5</v>
      </c>
      <c r="G332" s="927">
        <f>F332*D332*C332</f>
        <v>9.6000000000000014</v>
      </c>
      <c r="H332" s="900"/>
    </row>
    <row r="333" spans="1:8">
      <c r="A333" s="161"/>
      <c r="B333" s="877" t="s">
        <v>1362</v>
      </c>
      <c r="C333" s="899">
        <v>2</v>
      </c>
      <c r="D333" s="927">
        <v>6</v>
      </c>
      <c r="E333" s="899"/>
      <c r="F333" s="927">
        <v>0.6</v>
      </c>
      <c r="G333" s="927">
        <f>F333*D333*C333</f>
        <v>7.1999999999999993</v>
      </c>
      <c r="H333" s="900"/>
    </row>
    <row r="334" spans="1:8">
      <c r="A334" s="161"/>
      <c r="B334" s="877" t="s">
        <v>1361</v>
      </c>
      <c r="C334" s="899">
        <v>2</v>
      </c>
      <c r="D334" s="927">
        <v>1.2</v>
      </c>
      <c r="E334" s="899"/>
      <c r="F334" s="927">
        <v>1.5</v>
      </c>
      <c r="G334" s="927">
        <f>F334*D334*C334</f>
        <v>3.5999999999999996</v>
      </c>
      <c r="H334" s="900"/>
    </row>
    <row r="335" spans="1:8">
      <c r="A335" s="161"/>
      <c r="B335" s="877" t="s">
        <v>1357</v>
      </c>
      <c r="C335" s="899">
        <v>1</v>
      </c>
      <c r="D335" s="927">
        <v>1</v>
      </c>
      <c r="E335" s="899"/>
      <c r="F335" s="927">
        <v>2.1</v>
      </c>
      <c r="G335" s="927">
        <f>F335*D335*C335</f>
        <v>2.1</v>
      </c>
      <c r="H335" s="900"/>
    </row>
    <row r="336" spans="1:8">
      <c r="A336" s="161"/>
      <c r="B336" s="936"/>
      <c r="C336" s="899"/>
      <c r="D336" s="982"/>
      <c r="E336" s="899"/>
      <c r="F336" s="927"/>
      <c r="G336" s="927">
        <f>SUM(G332:G335)</f>
        <v>22.5</v>
      </c>
      <c r="H336" s="900"/>
    </row>
    <row r="337" spans="1:8">
      <c r="A337" s="161"/>
      <c r="B337" s="886"/>
      <c r="C337" s="849"/>
      <c r="D337" s="863"/>
      <c r="E337" s="849"/>
      <c r="F337" s="927"/>
      <c r="G337" s="927">
        <f>G330-G336</f>
        <v>160.28674999999998</v>
      </c>
      <c r="H337" s="900"/>
    </row>
    <row r="338" spans="1:8">
      <c r="A338" s="161"/>
      <c r="B338" s="886"/>
      <c r="C338" s="849"/>
      <c r="D338" s="863"/>
      <c r="E338" s="849"/>
      <c r="F338" s="927"/>
      <c r="G338" s="863">
        <f>G337*10%</f>
        <v>16.028675</v>
      </c>
      <c r="H338" s="900"/>
    </row>
    <row r="339" spans="1:8">
      <c r="A339" s="161"/>
      <c r="B339" s="886"/>
      <c r="C339" s="899"/>
      <c r="D339" s="898"/>
      <c r="E339" s="898"/>
      <c r="F339" s="927"/>
      <c r="G339" s="894">
        <f>G338+G337</f>
        <v>176.31542499999998</v>
      </c>
      <c r="H339" s="918" t="s">
        <v>32</v>
      </c>
    </row>
    <row r="340" spans="1:8">
      <c r="A340" s="161">
        <v>14</v>
      </c>
      <c r="B340" s="884" t="s">
        <v>1166</v>
      </c>
      <c r="C340" s="899"/>
      <c r="D340" s="898"/>
      <c r="E340" s="899"/>
      <c r="F340" s="898"/>
      <c r="G340" s="908"/>
      <c r="H340" s="900"/>
    </row>
    <row r="341" spans="1:8" ht="15">
      <c r="A341" s="161"/>
      <c r="B341" s="983" t="s">
        <v>1051</v>
      </c>
      <c r="C341" s="899"/>
      <c r="D341" s="898"/>
      <c r="E341" s="898"/>
      <c r="F341" s="935"/>
      <c r="G341" s="984"/>
      <c r="H341" s="900"/>
    </row>
    <row r="342" spans="1:8" ht="15">
      <c r="A342" s="161"/>
      <c r="B342" s="985" t="s">
        <v>564</v>
      </c>
      <c r="C342" s="899"/>
      <c r="D342" s="927"/>
      <c r="E342" s="899"/>
      <c r="F342" s="935"/>
      <c r="G342" s="986"/>
      <c r="H342" s="900"/>
    </row>
    <row r="343" spans="1:8" ht="15">
      <c r="A343" s="161"/>
      <c r="B343" s="985" t="s">
        <v>1435</v>
      </c>
      <c r="C343" s="987">
        <v>1</v>
      </c>
      <c r="D343" s="927">
        <v>3.5</v>
      </c>
      <c r="E343" s="935">
        <v>3.58</v>
      </c>
      <c r="F343" s="935"/>
      <c r="G343" s="927">
        <f>E343*D343*C343</f>
        <v>12.530000000000001</v>
      </c>
      <c r="H343" s="900"/>
    </row>
    <row r="344" spans="1:8" ht="15">
      <c r="A344" s="161"/>
      <c r="B344" s="985" t="s">
        <v>1232</v>
      </c>
      <c r="C344" s="987">
        <v>1</v>
      </c>
      <c r="D344" s="927">
        <v>2.4750000000000001</v>
      </c>
      <c r="E344" s="935">
        <v>1.48</v>
      </c>
      <c r="F344" s="935"/>
      <c r="G344" s="927">
        <f t="shared" ref="G344:G351" si="17">E344*D344*C344</f>
        <v>3.6630000000000003</v>
      </c>
      <c r="H344" s="900"/>
    </row>
    <row r="345" spans="1:8" ht="15">
      <c r="A345" s="161"/>
      <c r="B345" s="985" t="s">
        <v>1440</v>
      </c>
      <c r="C345" s="987">
        <v>1</v>
      </c>
      <c r="D345" s="927">
        <v>1.1499999999999999</v>
      </c>
      <c r="E345" s="935">
        <v>1.73</v>
      </c>
      <c r="F345" s="935"/>
      <c r="G345" s="927">
        <f t="shared" si="17"/>
        <v>1.9894999999999998</v>
      </c>
      <c r="H345" s="900"/>
    </row>
    <row r="346" spans="1:8" ht="15">
      <c r="A346" s="161"/>
      <c r="B346" s="985" t="s">
        <v>1435</v>
      </c>
      <c r="C346" s="987">
        <v>1</v>
      </c>
      <c r="D346" s="927">
        <v>3.5</v>
      </c>
      <c r="E346" s="935">
        <v>3.18</v>
      </c>
      <c r="F346" s="935"/>
      <c r="G346" s="927">
        <f t="shared" si="17"/>
        <v>11.13</v>
      </c>
      <c r="H346" s="900"/>
    </row>
    <row r="347" spans="1:8" ht="15">
      <c r="A347" s="161"/>
      <c r="B347" s="985" t="s">
        <v>1433</v>
      </c>
      <c r="C347" s="987">
        <v>1</v>
      </c>
      <c r="D347" s="927">
        <v>2.16</v>
      </c>
      <c r="E347" s="935">
        <v>3.08</v>
      </c>
      <c r="F347" s="935"/>
      <c r="G347" s="927">
        <f t="shared" si="17"/>
        <v>6.6528000000000009</v>
      </c>
      <c r="H347" s="900"/>
    </row>
    <row r="348" spans="1:8" ht="15">
      <c r="A348" s="161"/>
      <c r="B348" s="985" t="s">
        <v>1435</v>
      </c>
      <c r="C348" s="987">
        <v>1</v>
      </c>
      <c r="D348" s="927">
        <v>3.66</v>
      </c>
      <c r="E348" s="935">
        <v>3.6</v>
      </c>
      <c r="F348" s="935"/>
      <c r="G348" s="927">
        <f t="shared" si="17"/>
        <v>13.176</v>
      </c>
      <c r="H348" s="900"/>
    </row>
    <row r="349" spans="1:8" ht="15">
      <c r="A349" s="161"/>
      <c r="B349" s="985" t="s">
        <v>1436</v>
      </c>
      <c r="C349" s="987">
        <v>1</v>
      </c>
      <c r="D349" s="927">
        <v>3.02</v>
      </c>
      <c r="E349" s="935">
        <v>7.13</v>
      </c>
      <c r="F349" s="935"/>
      <c r="G349" s="927">
        <f t="shared" si="17"/>
        <v>21.532599999999999</v>
      </c>
      <c r="H349" s="900"/>
    </row>
    <row r="350" spans="1:8" ht="15">
      <c r="A350" s="161"/>
      <c r="B350" s="985" t="s">
        <v>1232</v>
      </c>
      <c r="C350" s="987">
        <v>1</v>
      </c>
      <c r="D350" s="927">
        <v>2.15</v>
      </c>
      <c r="E350" s="935">
        <v>1.48</v>
      </c>
      <c r="F350" s="935"/>
      <c r="G350" s="927">
        <f t="shared" si="17"/>
        <v>3.1819999999999999</v>
      </c>
      <c r="H350" s="900"/>
    </row>
    <row r="351" spans="1:8" ht="15">
      <c r="A351" s="161"/>
      <c r="B351" s="985" t="s">
        <v>1441</v>
      </c>
      <c r="C351" s="987">
        <v>1</v>
      </c>
      <c r="D351" s="927">
        <v>1.4350000000000001</v>
      </c>
      <c r="E351" s="935">
        <v>1.655</v>
      </c>
      <c r="F351" s="935"/>
      <c r="G351" s="927">
        <f t="shared" si="17"/>
        <v>2.3749250000000002</v>
      </c>
      <c r="H351" s="900"/>
    </row>
    <row r="352" spans="1:8">
      <c r="A352" s="161"/>
      <c r="B352" s="988" t="s">
        <v>975</v>
      </c>
      <c r="C352" s="987"/>
      <c r="D352" s="927"/>
      <c r="E352" s="927"/>
      <c r="F352" s="863"/>
      <c r="G352" s="863"/>
      <c r="H352" s="900"/>
    </row>
    <row r="353" spans="1:8" ht="15">
      <c r="A353" s="161"/>
      <c r="B353" s="989" t="s">
        <v>1224</v>
      </c>
      <c r="C353" s="990">
        <v>2</v>
      </c>
      <c r="D353" s="863">
        <v>1.9</v>
      </c>
      <c r="E353" s="863">
        <v>0.6</v>
      </c>
      <c r="F353" s="863"/>
      <c r="G353" s="863">
        <f>E353*D353*C353</f>
        <v>2.2799999999999998</v>
      </c>
      <c r="H353" s="900"/>
    </row>
    <row r="354" spans="1:8" ht="15">
      <c r="A354" s="161"/>
      <c r="B354" s="989" t="s">
        <v>1431</v>
      </c>
      <c r="C354" s="990">
        <v>1</v>
      </c>
      <c r="D354" s="863">
        <v>3.12</v>
      </c>
      <c r="E354" s="863">
        <v>0.6</v>
      </c>
      <c r="F354" s="863"/>
      <c r="G354" s="863">
        <f>E354*D354*C354</f>
        <v>1.8719999999999999</v>
      </c>
      <c r="H354" s="900"/>
    </row>
    <row r="355" spans="1:8" ht="15">
      <c r="A355" s="161"/>
      <c r="B355" s="989" t="s">
        <v>1361</v>
      </c>
      <c r="C355" s="990">
        <v>2</v>
      </c>
      <c r="D355" s="863">
        <v>1.5</v>
      </c>
      <c r="E355" s="863">
        <v>0.6</v>
      </c>
      <c r="F355" s="863"/>
      <c r="G355" s="863">
        <f>E355*D355*C355</f>
        <v>1.7999999999999998</v>
      </c>
      <c r="H355" s="900"/>
    </row>
    <row r="356" spans="1:8" ht="15">
      <c r="A356" s="161"/>
      <c r="B356" s="989" t="s">
        <v>1357</v>
      </c>
      <c r="C356" s="990">
        <v>1</v>
      </c>
      <c r="D356" s="863">
        <v>1.3</v>
      </c>
      <c r="E356" s="863">
        <v>0.6</v>
      </c>
      <c r="F356" s="863"/>
      <c r="G356" s="863">
        <f>E356*D356*C356</f>
        <v>0.78</v>
      </c>
      <c r="H356" s="900"/>
    </row>
    <row r="357" spans="1:8">
      <c r="A357" s="161"/>
      <c r="B357" s="855"/>
      <c r="C357" s="850"/>
      <c r="D357" s="863"/>
      <c r="E357" s="863"/>
      <c r="F357" s="863"/>
      <c r="G357" s="863">
        <f>SUM(G343:G356)</f>
        <v>82.962825000000009</v>
      </c>
      <c r="H357" s="900"/>
    </row>
    <row r="358" spans="1:8">
      <c r="A358" s="161"/>
      <c r="B358" s="855"/>
      <c r="C358" s="850"/>
      <c r="D358" s="863"/>
      <c r="E358" s="863"/>
      <c r="F358" s="935"/>
      <c r="G358" s="863">
        <f>G357*10%</f>
        <v>8.296282500000002</v>
      </c>
      <c r="H358" s="900"/>
    </row>
    <row r="359" spans="1:8">
      <c r="A359" s="161"/>
      <c r="B359" s="855"/>
      <c r="C359" s="935"/>
      <c r="D359" s="927"/>
      <c r="E359" s="935"/>
      <c r="F359" s="927"/>
      <c r="G359" s="894">
        <f>G358+G357</f>
        <v>91.259107500000013</v>
      </c>
      <c r="H359" s="918" t="s">
        <v>32</v>
      </c>
    </row>
    <row r="360" spans="1:8">
      <c r="A360" s="161">
        <v>15</v>
      </c>
      <c r="B360" s="991" t="s">
        <v>1167</v>
      </c>
      <c r="C360" s="849"/>
      <c r="D360" s="860"/>
      <c r="E360" s="850"/>
      <c r="F360" s="898"/>
      <c r="G360" s="920"/>
      <c r="H360" s="904"/>
    </row>
    <row r="361" spans="1:8">
      <c r="A361" s="161"/>
      <c r="B361" s="991"/>
      <c r="C361" s="899">
        <v>1</v>
      </c>
      <c r="D361" s="927">
        <v>4</v>
      </c>
      <c r="E361" s="860">
        <v>3.9950000000000001</v>
      </c>
      <c r="F361" s="898"/>
      <c r="G361" s="863">
        <f>E361*D361*C361</f>
        <v>15.98</v>
      </c>
      <c r="H361" s="904"/>
    </row>
    <row r="362" spans="1:8">
      <c r="A362" s="161"/>
      <c r="B362" s="991"/>
      <c r="C362" s="899">
        <v>1</v>
      </c>
      <c r="D362" s="927">
        <v>2.8959999999999999</v>
      </c>
      <c r="E362" s="860">
        <v>4.2249999999999996</v>
      </c>
      <c r="F362" s="898"/>
      <c r="G362" s="863">
        <f t="shared" ref="G362:G367" si="18">E362*D362*C362</f>
        <v>12.235599999999998</v>
      </c>
      <c r="H362" s="904"/>
    </row>
    <row r="363" spans="1:8">
      <c r="A363" s="161"/>
      <c r="B363" s="991"/>
      <c r="C363" s="899">
        <v>1</v>
      </c>
      <c r="D363" s="927">
        <v>4.16</v>
      </c>
      <c r="E363" s="860">
        <v>5.7050000000000001</v>
      </c>
      <c r="F363" s="898"/>
      <c r="G363" s="863">
        <f t="shared" si="18"/>
        <v>23.732800000000001</v>
      </c>
      <c r="H363" s="904"/>
    </row>
    <row r="364" spans="1:8">
      <c r="A364" s="161"/>
      <c r="B364" s="991"/>
      <c r="C364" s="899">
        <v>1</v>
      </c>
      <c r="D364" s="927">
        <v>4</v>
      </c>
      <c r="E364" s="860">
        <v>1.83</v>
      </c>
      <c r="F364" s="898"/>
      <c r="G364" s="863">
        <f t="shared" si="18"/>
        <v>7.32</v>
      </c>
      <c r="H364" s="904"/>
    </row>
    <row r="365" spans="1:8">
      <c r="A365" s="161"/>
      <c r="B365" s="991"/>
      <c r="C365" s="899">
        <v>1</v>
      </c>
      <c r="D365" s="927">
        <v>4</v>
      </c>
      <c r="E365" s="860">
        <v>3.2050000000000001</v>
      </c>
      <c r="F365" s="898"/>
      <c r="G365" s="863">
        <f t="shared" si="18"/>
        <v>12.82</v>
      </c>
      <c r="H365" s="904"/>
    </row>
    <row r="366" spans="1:8">
      <c r="A366" s="161"/>
      <c r="B366" s="991"/>
      <c r="C366" s="899">
        <v>1</v>
      </c>
      <c r="D366" s="927">
        <v>2.8959999999999999</v>
      </c>
      <c r="E366" s="860">
        <v>3.2050000000000001</v>
      </c>
      <c r="F366" s="898"/>
      <c r="G366" s="863">
        <f t="shared" si="18"/>
        <v>9.2816799999999997</v>
      </c>
      <c r="H366" s="904"/>
    </row>
    <row r="367" spans="1:8">
      <c r="A367" s="161"/>
      <c r="B367" s="991"/>
      <c r="C367" s="899">
        <v>1</v>
      </c>
      <c r="D367" s="927">
        <v>2.41</v>
      </c>
      <c r="E367" s="860">
        <v>3.2050000000000001</v>
      </c>
      <c r="F367" s="850"/>
      <c r="G367" s="863">
        <f t="shared" si="18"/>
        <v>7.724050000000001</v>
      </c>
      <c r="H367" s="904"/>
    </row>
    <row r="368" spans="1:8">
      <c r="A368" s="161"/>
      <c r="B368" s="940"/>
      <c r="C368" s="849"/>
      <c r="D368" s="863"/>
      <c r="E368" s="850"/>
      <c r="F368" s="886"/>
      <c r="G368" s="863">
        <f>SUM(G361:G367)</f>
        <v>89.094130000000007</v>
      </c>
      <c r="H368" s="940"/>
    </row>
    <row r="369" spans="1:8">
      <c r="A369" s="161"/>
      <c r="B369" s="886"/>
      <c r="C369" s="899"/>
      <c r="D369" s="898"/>
      <c r="E369" s="899"/>
      <c r="F369" s="886"/>
      <c r="G369" s="863">
        <f>G368*10%</f>
        <v>8.9094130000000007</v>
      </c>
      <c r="H369" s="904"/>
    </row>
    <row r="370" spans="1:8">
      <c r="A370" s="161"/>
      <c r="B370" s="886"/>
      <c r="C370" s="899"/>
      <c r="D370" s="898"/>
      <c r="E370" s="899"/>
      <c r="F370" s="850"/>
      <c r="G370" s="894">
        <f>G369+G368</f>
        <v>98.003543000000008</v>
      </c>
      <c r="H370" s="918" t="s">
        <v>32</v>
      </c>
    </row>
    <row r="371" spans="1:8" ht="38.25">
      <c r="A371" s="877">
        <v>16</v>
      </c>
      <c r="B371" s="992" t="s">
        <v>1171</v>
      </c>
      <c r="C371" s="849"/>
      <c r="D371" s="863"/>
      <c r="E371" s="850"/>
      <c r="F371" s="850"/>
      <c r="G371" s="920"/>
      <c r="H371" s="940"/>
    </row>
    <row r="372" spans="1:8">
      <c r="A372" s="161"/>
      <c r="B372" s="940" t="s">
        <v>1292</v>
      </c>
      <c r="C372" s="849"/>
      <c r="D372" s="863"/>
      <c r="E372" s="850"/>
      <c r="F372" s="850"/>
      <c r="G372" s="894"/>
      <c r="H372" s="940"/>
    </row>
    <row r="373" spans="1:8">
      <c r="A373" s="161"/>
      <c r="B373" s="940" t="s">
        <v>1293</v>
      </c>
      <c r="C373" s="849"/>
      <c r="D373" s="863"/>
      <c r="E373" s="850"/>
      <c r="F373" s="850"/>
      <c r="G373" s="863">
        <f>G298</f>
        <v>217.65892499999995</v>
      </c>
      <c r="H373" s="940"/>
    </row>
    <row r="374" spans="1:8">
      <c r="A374" s="161"/>
      <c r="B374" s="940" t="s">
        <v>1442</v>
      </c>
      <c r="C374" s="849"/>
      <c r="D374" s="863"/>
      <c r="E374" s="850"/>
      <c r="F374" s="850"/>
      <c r="G374" s="863">
        <f>G339</f>
        <v>176.31542499999998</v>
      </c>
      <c r="H374" s="940"/>
    </row>
    <row r="375" spans="1:8">
      <c r="A375" s="161"/>
      <c r="B375" s="940" t="s">
        <v>1295</v>
      </c>
      <c r="C375" s="849"/>
      <c r="D375" s="863"/>
      <c r="E375" s="850"/>
      <c r="F375" s="850"/>
      <c r="G375" s="863">
        <f>G359</f>
        <v>91.259107500000013</v>
      </c>
      <c r="H375" s="940"/>
    </row>
    <row r="376" spans="1:8">
      <c r="A376" s="161"/>
      <c r="B376" s="940"/>
      <c r="C376" s="849"/>
      <c r="D376" s="863"/>
      <c r="E376" s="850"/>
      <c r="F376" s="850"/>
      <c r="G376" s="863">
        <f>SUM(G373:G375)</f>
        <v>485.23345749999999</v>
      </c>
      <c r="H376" s="940"/>
    </row>
    <row r="377" spans="1:8">
      <c r="A377" s="161"/>
      <c r="B377" s="940"/>
      <c r="C377" s="849"/>
      <c r="D377" s="863"/>
      <c r="E377" s="850"/>
      <c r="F377" s="850"/>
      <c r="G377" s="894">
        <f>G376</f>
        <v>485.23345749999999</v>
      </c>
      <c r="H377" s="918" t="s">
        <v>32</v>
      </c>
    </row>
    <row r="378" spans="1:8" ht="15">
      <c r="A378" s="161">
        <v>17</v>
      </c>
      <c r="B378" s="991" t="s">
        <v>1172</v>
      </c>
      <c r="C378" s="849"/>
      <c r="D378" s="863"/>
      <c r="E378" s="850"/>
      <c r="F378" s="993"/>
      <c r="G378" s="863"/>
      <c r="H378" s="934"/>
    </row>
    <row r="379" spans="1:8">
      <c r="A379" s="161"/>
      <c r="B379" s="926" t="s">
        <v>1051</v>
      </c>
      <c r="C379" s="1292" t="s">
        <v>1443</v>
      </c>
      <c r="D379" s="1292"/>
      <c r="E379" s="1292"/>
      <c r="F379" s="850"/>
      <c r="G379" s="863">
        <f>G339</f>
        <v>176.31542499999998</v>
      </c>
      <c r="H379" s="940"/>
    </row>
    <row r="380" spans="1:8">
      <c r="A380" s="161"/>
      <c r="B380" s="940"/>
      <c r="C380" s="849"/>
      <c r="D380" s="863"/>
      <c r="E380" s="850"/>
      <c r="F380" s="850"/>
      <c r="G380" s="863"/>
      <c r="H380" s="940"/>
    </row>
    <row r="381" spans="1:8">
      <c r="A381" s="161"/>
      <c r="B381" s="940"/>
      <c r="C381" s="849"/>
      <c r="D381" s="863"/>
      <c r="E381" s="850"/>
      <c r="F381" s="850"/>
      <c r="G381" s="894">
        <f>G379</f>
        <v>176.31542499999998</v>
      </c>
      <c r="H381" s="918" t="s">
        <v>32</v>
      </c>
    </row>
    <row r="382" spans="1:8">
      <c r="A382" s="161">
        <v>18</v>
      </c>
      <c r="B382" s="992" t="s">
        <v>1236</v>
      </c>
      <c r="C382" s="899"/>
      <c r="D382" s="898"/>
      <c r="E382" s="899"/>
      <c r="F382" s="935"/>
      <c r="G382" s="927"/>
      <c r="H382" s="886"/>
    </row>
    <row r="383" spans="1:8" ht="15">
      <c r="A383" s="161"/>
      <c r="B383" s="886" t="s">
        <v>648</v>
      </c>
      <c r="C383" s="899"/>
      <c r="D383" s="927"/>
      <c r="E383" s="899"/>
      <c r="G383" s="928"/>
      <c r="H383" s="886"/>
    </row>
    <row r="384" spans="1:8" ht="15">
      <c r="A384" s="161"/>
      <c r="B384" s="855"/>
      <c r="C384" s="899">
        <v>2</v>
      </c>
      <c r="D384" s="927">
        <v>0.6</v>
      </c>
      <c r="E384" s="899"/>
      <c r="F384" s="935">
        <v>0.6</v>
      </c>
      <c r="G384" s="928">
        <f>F384*D384*C384</f>
        <v>0.72</v>
      </c>
      <c r="H384" s="886"/>
    </row>
    <row r="385" spans="1:8" ht="15">
      <c r="A385" s="161"/>
      <c r="B385" s="886"/>
      <c r="C385" s="899"/>
      <c r="D385" s="898"/>
      <c r="E385" s="899"/>
      <c r="F385" s="898"/>
      <c r="G385" s="927">
        <f>SUM(G384:G384)</f>
        <v>0.72</v>
      </c>
      <c r="H385" s="994"/>
    </row>
    <row r="386" spans="1:8" ht="15">
      <c r="A386" s="161"/>
      <c r="B386" s="886"/>
      <c r="C386" s="899"/>
      <c r="D386" s="898"/>
      <c r="E386" s="899"/>
      <c r="F386" s="898"/>
      <c r="G386" s="973"/>
      <c r="H386" s="994"/>
    </row>
    <row r="387" spans="1:8" ht="15">
      <c r="A387" s="161"/>
      <c r="B387" s="886"/>
      <c r="C387" s="899"/>
      <c r="D387" s="860" t="s">
        <v>492</v>
      </c>
      <c r="E387" s="849" t="s">
        <v>1237</v>
      </c>
      <c r="F387" s="898"/>
      <c r="G387" s="973">
        <f>G385*5.1</f>
        <v>3.6719999999999997</v>
      </c>
      <c r="H387" s="994"/>
    </row>
    <row r="388" spans="1:8">
      <c r="A388" s="161"/>
      <c r="B388" s="886"/>
      <c r="C388" s="899"/>
      <c r="D388" s="898"/>
      <c r="E388" s="899"/>
      <c r="F388" s="898"/>
      <c r="G388" s="863">
        <f>G387*10%</f>
        <v>0.36719999999999997</v>
      </c>
      <c r="H388" s="926"/>
    </row>
    <row r="389" spans="1:8">
      <c r="A389" s="161"/>
      <c r="B389" s="886"/>
      <c r="C389" s="899"/>
      <c r="D389" s="860"/>
      <c r="E389" s="849"/>
      <c r="F389" s="898"/>
      <c r="G389" s="894">
        <f>G388+G387</f>
        <v>4.0391999999999992</v>
      </c>
      <c r="H389" s="918" t="s">
        <v>32</v>
      </c>
    </row>
    <row r="390" spans="1:8">
      <c r="A390" s="161">
        <v>19</v>
      </c>
      <c r="B390" s="992" t="s">
        <v>1213</v>
      </c>
      <c r="C390" s="899"/>
      <c r="D390" s="898"/>
      <c r="E390" s="898"/>
      <c r="F390" s="935"/>
      <c r="G390" s="927"/>
      <c r="H390" s="900"/>
    </row>
    <row r="391" spans="1:8">
      <c r="A391" s="161"/>
      <c r="B391" s="936" t="s">
        <v>1051</v>
      </c>
      <c r="C391" s="899"/>
      <c r="D391" s="927"/>
      <c r="E391" s="899"/>
      <c r="G391" s="927"/>
      <c r="H391" s="900"/>
    </row>
    <row r="392" spans="1:8">
      <c r="A392" s="161"/>
      <c r="B392" s="886" t="s">
        <v>1357</v>
      </c>
      <c r="C392" s="849">
        <v>1</v>
      </c>
      <c r="D392" s="863">
        <v>1</v>
      </c>
      <c r="E392" s="863"/>
      <c r="F392" s="863">
        <v>2.1</v>
      </c>
      <c r="G392" s="927">
        <f>F392*D392*C392</f>
        <v>2.1</v>
      </c>
      <c r="H392" s="900"/>
    </row>
    <row r="393" spans="1:8">
      <c r="A393" s="161"/>
      <c r="B393" s="886" t="s">
        <v>1358</v>
      </c>
      <c r="C393" s="849">
        <v>4</v>
      </c>
      <c r="D393" s="863">
        <v>0.9</v>
      </c>
      <c r="E393" s="863"/>
      <c r="F393" s="863">
        <v>2.1</v>
      </c>
      <c r="G393" s="927">
        <f>F393*D393*C393</f>
        <v>7.5600000000000005</v>
      </c>
      <c r="H393" s="900"/>
    </row>
    <row r="394" spans="1:8">
      <c r="A394" s="161"/>
      <c r="B394" s="886"/>
      <c r="C394" s="899"/>
      <c r="D394" s="898"/>
      <c r="E394" s="886"/>
      <c r="F394" s="935"/>
      <c r="G394" s="863">
        <f>SUM(G392:G393)</f>
        <v>9.66</v>
      </c>
      <c r="H394" s="900"/>
    </row>
    <row r="395" spans="1:8">
      <c r="A395" s="161"/>
      <c r="B395" s="886"/>
      <c r="C395" s="899"/>
      <c r="D395" s="927"/>
      <c r="E395" s="899"/>
      <c r="F395" s="935"/>
      <c r="G395" s="927">
        <f>G394</f>
        <v>9.66</v>
      </c>
      <c r="H395" s="926"/>
    </row>
    <row r="396" spans="1:8" ht="15">
      <c r="A396" s="161"/>
      <c r="B396" s="886"/>
      <c r="C396" s="899"/>
      <c r="D396" s="927"/>
      <c r="E396" s="899"/>
      <c r="F396" s="849" t="s">
        <v>117</v>
      </c>
      <c r="G396" s="863">
        <f>G395*10%</f>
        <v>0.96600000000000008</v>
      </c>
      <c r="H396" s="994"/>
    </row>
    <row r="397" spans="1:8">
      <c r="A397" s="161"/>
      <c r="B397" s="886"/>
      <c r="C397" s="899"/>
      <c r="D397" s="898"/>
      <c r="E397" s="886"/>
      <c r="F397" s="886"/>
      <c r="G397" s="894">
        <f>G396+G395</f>
        <v>10.625999999999999</v>
      </c>
      <c r="H397" s="886"/>
    </row>
    <row r="398" spans="1:8" ht="15">
      <c r="A398" s="161">
        <v>20</v>
      </c>
      <c r="B398" s="992" t="s">
        <v>1375</v>
      </c>
      <c r="C398" s="899"/>
      <c r="D398" s="898"/>
      <c r="E398" s="899"/>
      <c r="G398" s="927"/>
      <c r="H398" s="994"/>
    </row>
    <row r="399" spans="1:8" ht="15">
      <c r="A399" s="161"/>
      <c r="B399" s="886" t="s">
        <v>1357</v>
      </c>
      <c r="C399" s="899">
        <v>1</v>
      </c>
      <c r="D399" s="898">
        <f>D392+(2*2.1)</f>
        <v>5.2</v>
      </c>
      <c r="E399" s="899">
        <v>0.125</v>
      </c>
      <c r="F399" s="935">
        <f>0.2*0.3</f>
        <v>0.06</v>
      </c>
      <c r="G399" s="927">
        <f>F399*E399*D399*C399</f>
        <v>3.9E-2</v>
      </c>
      <c r="H399" s="994"/>
    </row>
    <row r="400" spans="1:8" ht="15">
      <c r="A400" s="161"/>
      <c r="B400" s="886" t="s">
        <v>1358</v>
      </c>
      <c r="C400" s="899">
        <v>4</v>
      </c>
      <c r="D400" s="898">
        <f>D393+(2*2.1)</f>
        <v>5.1000000000000005</v>
      </c>
      <c r="E400" s="899">
        <v>0.125</v>
      </c>
      <c r="F400" s="935">
        <f>0.2*0.3</f>
        <v>0.06</v>
      </c>
      <c r="G400" s="927">
        <f>F400*E400*D400*C400</f>
        <v>0.153</v>
      </c>
      <c r="H400" s="994"/>
    </row>
    <row r="401" spans="1:8">
      <c r="A401" s="161"/>
      <c r="B401" s="886"/>
      <c r="C401" s="899"/>
      <c r="D401" s="898"/>
      <c r="E401" s="899"/>
      <c r="F401" s="935"/>
      <c r="G401" s="927">
        <f>SUM(G399:G400)</f>
        <v>0.192</v>
      </c>
      <c r="H401" s="900"/>
    </row>
    <row r="402" spans="1:8">
      <c r="A402" s="886"/>
      <c r="B402" s="886"/>
      <c r="C402" s="899"/>
      <c r="D402" s="898"/>
      <c r="E402" s="899"/>
      <c r="F402" s="935"/>
      <c r="G402" s="863">
        <f>G401*10%</f>
        <v>1.9200000000000002E-2</v>
      </c>
      <c r="H402" s="900"/>
    </row>
    <row r="403" spans="1:8">
      <c r="A403" s="161"/>
      <c r="B403" s="886"/>
      <c r="C403" s="899"/>
      <c r="D403" s="898"/>
      <c r="E403" s="899"/>
      <c r="F403" s="935"/>
      <c r="G403" s="894">
        <f>G402+G401</f>
        <v>0.2112</v>
      </c>
      <c r="H403" s="918" t="s">
        <v>1240</v>
      </c>
    </row>
    <row r="404" spans="1:8" ht="25.5">
      <c r="A404" s="161">
        <v>21</v>
      </c>
      <c r="B404" s="992" t="s">
        <v>1238</v>
      </c>
      <c r="C404" s="899"/>
      <c r="D404" s="898"/>
      <c r="E404" s="899"/>
      <c r="F404" s="899"/>
      <c r="G404" s="927"/>
    </row>
    <row r="405" spans="1:8">
      <c r="A405" s="161"/>
      <c r="B405" s="995" t="s">
        <v>1051</v>
      </c>
      <c r="C405" s="899"/>
      <c r="D405" s="898"/>
      <c r="E405" s="899"/>
      <c r="G405" s="927"/>
      <c r="H405" s="926"/>
    </row>
    <row r="406" spans="1:8">
      <c r="A406" s="161"/>
      <c r="B406" s="855" t="s">
        <v>1359</v>
      </c>
      <c r="C406" s="899">
        <v>3</v>
      </c>
      <c r="D406" s="927">
        <v>0.75</v>
      </c>
      <c r="E406" s="899"/>
      <c r="F406" s="935">
        <v>2.1</v>
      </c>
      <c r="G406" s="927">
        <f>F406*D406*C406</f>
        <v>4.7250000000000005</v>
      </c>
      <c r="H406" s="900"/>
    </row>
    <row r="407" spans="1:8" ht="15">
      <c r="A407" s="161"/>
      <c r="B407" s="996"/>
      <c r="C407" s="899"/>
      <c r="D407" s="898"/>
      <c r="E407" s="899"/>
      <c r="F407" s="899"/>
      <c r="G407" s="997">
        <f>G406</f>
        <v>4.7250000000000005</v>
      </c>
      <c r="H407" s="926"/>
    </row>
    <row r="408" spans="1:8">
      <c r="A408" s="161"/>
      <c r="B408" s="996"/>
      <c r="C408" s="899"/>
      <c r="D408" s="898"/>
      <c r="E408" s="899"/>
      <c r="F408" s="161" t="s">
        <v>426</v>
      </c>
      <c r="G408" s="863">
        <f>G407*10%</f>
        <v>0.47250000000000009</v>
      </c>
      <c r="H408" s="998"/>
    </row>
    <row r="409" spans="1:8">
      <c r="A409" s="161"/>
      <c r="B409" s="886"/>
      <c r="C409" s="899"/>
      <c r="D409" s="898"/>
      <c r="E409" s="899"/>
      <c r="F409" s="886"/>
      <c r="G409" s="894">
        <f>G408+G407</f>
        <v>5.1975000000000007</v>
      </c>
      <c r="H409" s="918" t="s">
        <v>32</v>
      </c>
    </row>
    <row r="410" spans="1:8">
      <c r="A410" s="161"/>
      <c r="B410" s="886"/>
      <c r="C410" s="899"/>
      <c r="D410" s="898"/>
      <c r="E410" s="899"/>
      <c r="F410" s="886"/>
      <c r="G410" s="927"/>
      <c r="H410" s="918"/>
    </row>
    <row r="411" spans="1:8">
      <c r="A411" s="161">
        <v>22</v>
      </c>
      <c r="B411" s="992" t="s">
        <v>1239</v>
      </c>
      <c r="C411" s="899">
        <f>C406</f>
        <v>3</v>
      </c>
      <c r="D411" s="860">
        <f>2*2.1+D406</f>
        <v>4.95</v>
      </c>
      <c r="E411" s="899"/>
      <c r="F411" s="886"/>
      <c r="G411" s="973">
        <f>D411*C411</f>
        <v>14.850000000000001</v>
      </c>
      <c r="H411" s="918"/>
    </row>
    <row r="412" spans="1:8">
      <c r="A412" s="161"/>
      <c r="B412" s="886"/>
      <c r="C412" s="899"/>
      <c r="D412" s="898"/>
      <c r="E412" s="899"/>
      <c r="F412" s="886"/>
      <c r="G412" s="863">
        <f>G411*10%</f>
        <v>1.4850000000000003</v>
      </c>
      <c r="H412" s="918"/>
    </row>
    <row r="413" spans="1:8">
      <c r="A413" s="161"/>
      <c r="B413" s="936"/>
      <c r="C413" s="899"/>
      <c r="D413" s="860"/>
      <c r="E413" s="899"/>
      <c r="F413" s="886"/>
      <c r="G413" s="894">
        <f>G412+G411</f>
        <v>16.335000000000001</v>
      </c>
      <c r="H413" s="918" t="s">
        <v>32</v>
      </c>
    </row>
    <row r="414" spans="1:8" ht="25.5">
      <c r="A414" s="161">
        <v>23</v>
      </c>
      <c r="B414" s="992" t="s">
        <v>1335</v>
      </c>
      <c r="C414" s="899"/>
      <c r="D414" s="898"/>
      <c r="E414" s="899"/>
      <c r="F414" s="886"/>
      <c r="G414" s="927"/>
    </row>
    <row r="415" spans="1:8" ht="15">
      <c r="B415" s="994" t="s">
        <v>1051</v>
      </c>
      <c r="C415" s="899"/>
      <c r="D415" s="898"/>
      <c r="E415" s="898"/>
      <c r="G415" s="927"/>
    </row>
    <row r="416" spans="1:8">
      <c r="B416" s="886" t="s">
        <v>1224</v>
      </c>
      <c r="C416" s="849">
        <v>4</v>
      </c>
      <c r="D416" s="863">
        <v>1.6</v>
      </c>
      <c r="E416" s="849"/>
      <c r="F416" s="935">
        <v>1.5</v>
      </c>
      <c r="G416" s="927">
        <f>F416*D416*C416</f>
        <v>9.6000000000000014</v>
      </c>
    </row>
    <row r="417" spans="1:8">
      <c r="B417" s="939" t="s">
        <v>1361</v>
      </c>
      <c r="C417" s="849">
        <v>2</v>
      </c>
      <c r="D417" s="863">
        <v>1.2</v>
      </c>
      <c r="E417" s="849"/>
      <c r="F417" s="935">
        <v>1.5</v>
      </c>
      <c r="G417" s="927">
        <f>F417*D417*C417</f>
        <v>3.5999999999999996</v>
      </c>
    </row>
    <row r="418" spans="1:8">
      <c r="B418" s="991"/>
      <c r="C418" s="899"/>
      <c r="D418" s="898"/>
      <c r="E418" s="899"/>
      <c r="F418" s="886"/>
      <c r="G418" s="973">
        <f>G416</f>
        <v>9.6000000000000014</v>
      </c>
    </row>
    <row r="419" spans="1:8">
      <c r="B419" s="991"/>
      <c r="C419" s="899"/>
      <c r="D419" s="898"/>
      <c r="E419" s="899"/>
      <c r="F419" s="886"/>
      <c r="G419" s="973">
        <f>G418</f>
        <v>9.6000000000000014</v>
      </c>
    </row>
    <row r="420" spans="1:8">
      <c r="B420" s="991"/>
      <c r="C420" s="899"/>
      <c r="D420" s="898"/>
      <c r="E420" s="899"/>
      <c r="F420" s="161" t="s">
        <v>426</v>
      </c>
      <c r="G420" s="863">
        <f>G419*10%</f>
        <v>0.96000000000000019</v>
      </c>
    </row>
    <row r="421" spans="1:8" ht="15">
      <c r="B421" s="994"/>
      <c r="C421" s="899"/>
      <c r="D421" s="898"/>
      <c r="E421" s="898"/>
      <c r="G421" s="894">
        <f>G420+G419</f>
        <v>10.560000000000002</v>
      </c>
    </row>
    <row r="422" spans="1:8">
      <c r="A422" s="910">
        <v>24</v>
      </c>
      <c r="B422" s="992" t="s">
        <v>1169</v>
      </c>
    </row>
    <row r="423" spans="1:8">
      <c r="B423" s="939" t="s">
        <v>1361</v>
      </c>
      <c r="C423" s="849">
        <v>2</v>
      </c>
      <c r="D423" s="863">
        <v>1.2</v>
      </c>
      <c r="E423" s="849"/>
      <c r="F423" s="935">
        <v>1.5</v>
      </c>
      <c r="G423" s="927">
        <f>F423*D423*C423</f>
        <v>3.5999999999999996</v>
      </c>
    </row>
    <row r="424" spans="1:8">
      <c r="E424" s="899"/>
      <c r="F424" s="886"/>
      <c r="G424" s="973">
        <f>G423</f>
        <v>3.5999999999999996</v>
      </c>
    </row>
    <row r="425" spans="1:8">
      <c r="E425" s="899"/>
      <c r="F425" s="161" t="s">
        <v>426</v>
      </c>
      <c r="G425" s="863">
        <f>G424*10%</f>
        <v>0.36</v>
      </c>
    </row>
    <row r="426" spans="1:8">
      <c r="E426" s="898"/>
      <c r="G426" s="894">
        <f>G425+G424</f>
        <v>3.9599999999999995</v>
      </c>
    </row>
    <row r="427" spans="1:8">
      <c r="D427" s="999" t="s">
        <v>492</v>
      </c>
      <c r="E427" s="947">
        <v>26.9</v>
      </c>
      <c r="F427" s="890" t="s">
        <v>1366</v>
      </c>
      <c r="G427" s="973">
        <f>E427*G426</f>
        <v>106.52399999999999</v>
      </c>
      <c r="H427" s="926"/>
    </row>
    <row r="428" spans="1:8">
      <c r="D428" s="1000"/>
      <c r="E428" s="947"/>
      <c r="F428" s="1001"/>
      <c r="G428" s="889">
        <f>G427*10%</f>
        <v>10.6524</v>
      </c>
      <c r="H428" s="926"/>
    </row>
    <row r="429" spans="1:8">
      <c r="D429" s="999"/>
      <c r="E429" s="947"/>
      <c r="F429" s="890"/>
      <c r="G429" s="894">
        <f>G428+G427</f>
        <v>117.17639999999999</v>
      </c>
      <c r="H429" s="918" t="s">
        <v>1170</v>
      </c>
    </row>
    <row r="430" spans="1:8" ht="38.25">
      <c r="A430" s="909">
        <v>25</v>
      </c>
      <c r="B430" s="1002" t="s">
        <v>1173</v>
      </c>
    </row>
    <row r="431" spans="1:8">
      <c r="B431" s="939" t="s">
        <v>1361</v>
      </c>
      <c r="C431" s="849">
        <v>2</v>
      </c>
      <c r="D431" s="863">
        <v>1.2</v>
      </c>
      <c r="E431" s="849"/>
      <c r="F431" s="935">
        <v>1.5</v>
      </c>
      <c r="G431" s="927">
        <f>F431*D431*C431</f>
        <v>3.5999999999999996</v>
      </c>
    </row>
    <row r="432" spans="1:8">
      <c r="F432" s="886"/>
      <c r="G432" s="973">
        <f>G431</f>
        <v>3.5999999999999996</v>
      </c>
    </row>
    <row r="433" spans="6:8">
      <c r="F433" s="161" t="s">
        <v>426</v>
      </c>
      <c r="G433" s="863">
        <f>G432*10%</f>
        <v>0.36</v>
      </c>
    </row>
    <row r="434" spans="6:8">
      <c r="G434" s="894">
        <f>G433+G432</f>
        <v>3.9599999999999995</v>
      </c>
      <c r="H434" s="918" t="s">
        <v>32</v>
      </c>
    </row>
  </sheetData>
  <mergeCells count="3">
    <mergeCell ref="A1:H1"/>
    <mergeCell ref="A2:H2"/>
    <mergeCell ref="C379:E379"/>
  </mergeCells>
  <pageMargins left="0.45" right="0.45" top="1" bottom="0.75" header="0.3" footer="0.3"/>
  <pageSetup paperSize="9" orientation="portrait" verticalDpi="0" r:id="rId1"/>
  <headerFooter>
    <oddHeader>&amp;C&amp;"Arial,Bold"&amp;12PROJECT:-&amp;"Arial,Regular"
PROPOSED CONSTRUCTION OF EMRS (Ekalavya Model Residential School)
 AT BIKRAMPUR, DIST:-RAYAGADA, ODISHA.</oddHeader>
    <oddFooter>&amp;L&amp;"Arial,Bold"&amp;11HSCL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view="pageBreakPreview" topLeftCell="A105" zoomScaleSheetLayoutView="100" workbookViewId="0">
      <selection activeCell="G115" sqref="G115"/>
    </sheetView>
  </sheetViews>
  <sheetFormatPr defaultRowHeight="12.75"/>
  <cols>
    <col min="1" max="1" width="9.140625" style="861"/>
    <col min="2" max="2" width="34.85546875" style="861" customWidth="1"/>
    <col min="3" max="5" width="9.140625" style="910"/>
    <col min="6" max="6" width="14.42578125" style="910" customWidth="1"/>
    <col min="7" max="16384" width="9.140625" style="861"/>
  </cols>
  <sheetData>
    <row r="1" spans="1:6" ht="50.25" customHeight="1">
      <c r="A1" s="1293" t="s">
        <v>1444</v>
      </c>
      <c r="B1" s="1293"/>
      <c r="C1" s="1293"/>
      <c r="D1" s="1293"/>
      <c r="E1" s="1293"/>
      <c r="F1" s="1293"/>
    </row>
    <row r="2" spans="1:6" ht="16.5">
      <c r="A2" s="847"/>
      <c r="B2" s="847"/>
      <c r="C2" s="847"/>
      <c r="D2" s="847"/>
      <c r="E2" s="847"/>
      <c r="F2" s="847"/>
    </row>
    <row r="3" spans="1:6" ht="92.25" customHeight="1">
      <c r="A3" s="770">
        <v>1</v>
      </c>
      <c r="B3" s="848" t="s">
        <v>1445</v>
      </c>
      <c r="C3" s="862">
        <f>'Staaf Qtr'!G12</f>
        <v>258.95100000000002</v>
      </c>
      <c r="D3" s="860" t="s">
        <v>25</v>
      </c>
      <c r="E3" s="863">
        <f>ANALYSIS!F16</f>
        <v>89.2</v>
      </c>
      <c r="F3" s="862">
        <f>E3*C3</f>
        <v>23098.429200000002</v>
      </c>
    </row>
    <row r="4" spans="1:6">
      <c r="A4" s="770"/>
      <c r="B4" s="848"/>
      <c r="C4" s="862"/>
      <c r="D4" s="860"/>
      <c r="E4" s="863"/>
      <c r="F4" s="862"/>
    </row>
    <row r="5" spans="1:6" ht="153">
      <c r="A5" s="851">
        <v>2</v>
      </c>
      <c r="B5" s="852" t="s">
        <v>405</v>
      </c>
      <c r="C5" s="863">
        <f>'Staaf Qtr'!G28</f>
        <v>64.990510200000003</v>
      </c>
      <c r="D5" s="860" t="s">
        <v>25</v>
      </c>
      <c r="E5" s="863">
        <f>ANALYSIS!F45</f>
        <v>275.60000000000002</v>
      </c>
      <c r="F5" s="862">
        <f>E5*C5</f>
        <v>17911.384611120004</v>
      </c>
    </row>
    <row r="6" spans="1:6">
      <c r="A6" s="851"/>
      <c r="B6" s="852"/>
      <c r="C6" s="863"/>
      <c r="D6" s="860"/>
      <c r="E6" s="863"/>
      <c r="F6" s="862"/>
    </row>
    <row r="7" spans="1:6" ht="30.75" customHeight="1">
      <c r="A7" s="851">
        <v>3</v>
      </c>
      <c r="B7" s="864" t="s">
        <v>428</v>
      </c>
      <c r="C7" s="863">
        <f>C3/3</f>
        <v>86.317000000000007</v>
      </c>
      <c r="D7" s="860" t="s">
        <v>25</v>
      </c>
      <c r="E7" s="863">
        <f>(E3*2)/3</f>
        <v>59.466666666666669</v>
      </c>
      <c r="F7" s="862">
        <f>E7*C7</f>
        <v>5132.9842666666673</v>
      </c>
    </row>
    <row r="8" spans="1:6">
      <c r="A8" s="851"/>
      <c r="B8" s="864"/>
      <c r="C8" s="863"/>
      <c r="D8" s="860"/>
      <c r="E8" s="863"/>
      <c r="F8" s="862"/>
    </row>
    <row r="9" spans="1:6" ht="89.25">
      <c r="A9" s="851">
        <v>4</v>
      </c>
      <c r="B9" s="852" t="s">
        <v>406</v>
      </c>
      <c r="C9" s="863">
        <f>'Staaf Qtr'!G42</f>
        <v>43.313703400000001</v>
      </c>
      <c r="D9" s="860" t="s">
        <v>25</v>
      </c>
      <c r="E9" s="863">
        <f>ANALYSIS!F127</f>
        <v>4044.7</v>
      </c>
      <c r="F9" s="862">
        <f>E9*C9</f>
        <v>175190.93614198</v>
      </c>
    </row>
    <row r="10" spans="1:6">
      <c r="A10" s="853"/>
      <c r="B10" s="854"/>
      <c r="C10" s="865"/>
      <c r="D10" s="865"/>
      <c r="E10" s="860"/>
      <c r="F10" s="862"/>
    </row>
    <row r="11" spans="1:6" ht="255">
      <c r="A11" s="856">
        <v>5</v>
      </c>
      <c r="B11" s="866" t="s">
        <v>1245</v>
      </c>
      <c r="C11" s="863">
        <f>'Staaf Qtr'!G233</f>
        <v>16.367999999999999</v>
      </c>
      <c r="D11" s="860" t="s">
        <v>25</v>
      </c>
      <c r="E11" s="863">
        <f>ANALYSIS!F172</f>
        <v>4226.8999999999996</v>
      </c>
      <c r="F11" s="862">
        <f>E11*C11</f>
        <v>69185.899199999985</v>
      </c>
    </row>
    <row r="12" spans="1:6">
      <c r="A12" s="853"/>
      <c r="B12" s="854"/>
      <c r="C12" s="865"/>
      <c r="D12" s="865"/>
      <c r="E12" s="860"/>
      <c r="F12" s="862"/>
    </row>
    <row r="13" spans="1:6" ht="76.5">
      <c r="A13" s="851">
        <v>6</v>
      </c>
      <c r="B13" s="857" t="s">
        <v>485</v>
      </c>
      <c r="C13" s="867"/>
      <c r="D13" s="867"/>
      <c r="E13" s="860"/>
      <c r="F13" s="425"/>
    </row>
    <row r="14" spans="1:6">
      <c r="A14" s="851" t="s">
        <v>424</v>
      </c>
      <c r="B14" s="858" t="s">
        <v>486</v>
      </c>
      <c r="C14" s="863"/>
      <c r="D14" s="860"/>
      <c r="E14" s="860"/>
      <c r="F14" s="425"/>
    </row>
    <row r="15" spans="1:6">
      <c r="A15" s="851"/>
      <c r="B15" s="857" t="s">
        <v>1249</v>
      </c>
      <c r="C15" s="863">
        <f>'Staaf Qtr'!G50+'Staaf Qtr'!G55</f>
        <v>33.547799999999995</v>
      </c>
      <c r="D15" s="860" t="s">
        <v>25</v>
      </c>
      <c r="E15" s="863">
        <f>ANALYSIS!F412</f>
        <v>5475.0535757248017</v>
      </c>
      <c r="F15" s="425">
        <f>E15*C15</f>
        <v>183676.00234770047</v>
      </c>
    </row>
    <row r="16" spans="1:6">
      <c r="A16" s="851"/>
      <c r="B16" s="868" t="s">
        <v>1246</v>
      </c>
      <c r="C16" s="863">
        <f>'Staaf Qtr'!G61</f>
        <v>1.9800000000000004</v>
      </c>
      <c r="D16" s="860" t="s">
        <v>25</v>
      </c>
      <c r="E16" s="863">
        <f>ANALYSIS!F412</f>
        <v>5475.0535757248017</v>
      </c>
      <c r="F16" s="425">
        <f>E16*C16</f>
        <v>10840.606079935109</v>
      </c>
    </row>
    <row r="17" spans="1:6">
      <c r="A17" s="851"/>
      <c r="B17" s="857" t="s">
        <v>594</v>
      </c>
      <c r="C17" s="863">
        <f>'Staaf Qtr'!G68</f>
        <v>7.7178749999999994</v>
      </c>
      <c r="D17" s="860" t="s">
        <v>25</v>
      </c>
      <c r="E17" s="863">
        <f>ANALYSIS!F429</f>
        <v>5873.1</v>
      </c>
      <c r="F17" s="425">
        <f>E17*C17</f>
        <v>45327.851662499997</v>
      </c>
    </row>
    <row r="18" spans="1:6">
      <c r="A18" s="851"/>
      <c r="B18" s="857"/>
      <c r="C18" s="863"/>
      <c r="D18" s="860"/>
      <c r="E18" s="863"/>
      <c r="F18" s="425"/>
    </row>
    <row r="19" spans="1:6">
      <c r="A19" s="851" t="s">
        <v>425</v>
      </c>
      <c r="B19" s="858" t="s">
        <v>489</v>
      </c>
      <c r="C19" s="863"/>
      <c r="D19" s="860"/>
      <c r="E19" s="860"/>
      <c r="F19" s="425"/>
    </row>
    <row r="20" spans="1:6">
      <c r="A20" s="851"/>
      <c r="B20" s="858" t="s">
        <v>490</v>
      </c>
      <c r="C20" s="863"/>
      <c r="D20" s="860"/>
      <c r="E20" s="860"/>
      <c r="F20" s="425"/>
    </row>
    <row r="21" spans="1:6">
      <c r="A21" s="851"/>
      <c r="B21" s="857" t="s">
        <v>1051</v>
      </c>
      <c r="C21" s="863">
        <f>'Staaf Qtr'!G75</f>
        <v>6.8640000000000008</v>
      </c>
      <c r="D21" s="860" t="s">
        <v>25</v>
      </c>
      <c r="E21" s="863">
        <f>ANALYSIS!F485</f>
        <v>9005.4</v>
      </c>
      <c r="F21" s="425">
        <f>E21*C21</f>
        <v>61813.065600000002</v>
      </c>
    </row>
    <row r="22" spans="1:6">
      <c r="A22" s="851"/>
      <c r="B22" s="857" t="s">
        <v>1214</v>
      </c>
      <c r="C22" s="863">
        <f>'Staaf Qtr'!G80</f>
        <v>6.8640000000000008</v>
      </c>
      <c r="D22" s="860" t="s">
        <v>25</v>
      </c>
      <c r="E22" s="863">
        <f>ANALYSIS!F491</f>
        <v>10473.299999999999</v>
      </c>
      <c r="F22" s="425">
        <f>E22*C22</f>
        <v>71888.731200000009</v>
      </c>
    </row>
    <row r="23" spans="1:6">
      <c r="A23" s="851"/>
      <c r="B23" s="857" t="s">
        <v>1250</v>
      </c>
      <c r="C23" s="863">
        <f>'Staaf Qtr'!G85</f>
        <v>0.92400000000000015</v>
      </c>
      <c r="D23" s="860" t="s">
        <v>25</v>
      </c>
      <c r="E23" s="863">
        <f>ANALYSIS!F497</f>
        <v>11549.5</v>
      </c>
      <c r="F23" s="425">
        <f>E23*C23</f>
        <v>10671.738000000001</v>
      </c>
    </row>
    <row r="24" spans="1:6">
      <c r="A24" s="851"/>
      <c r="B24" s="857"/>
      <c r="C24" s="863"/>
      <c r="D24" s="860"/>
      <c r="E24" s="863"/>
      <c r="F24" s="425"/>
    </row>
    <row r="25" spans="1:6">
      <c r="A25" s="851"/>
      <c r="B25" s="858" t="s">
        <v>460</v>
      </c>
      <c r="C25" s="863"/>
      <c r="D25" s="860"/>
      <c r="E25" s="860"/>
      <c r="F25" s="425"/>
    </row>
    <row r="26" spans="1:6">
      <c r="A26" s="851"/>
      <c r="B26" s="857" t="s">
        <v>1051</v>
      </c>
      <c r="C26" s="863">
        <f>'Staaf Qtr'!G106</f>
        <v>7.8933593750000011</v>
      </c>
      <c r="D26" s="860" t="s">
        <v>25</v>
      </c>
      <c r="E26" s="863">
        <f>E21</f>
        <v>9005.4</v>
      </c>
      <c r="F26" s="425">
        <f>E26*C26</f>
        <v>71082.858515625005</v>
      </c>
    </row>
    <row r="27" spans="1:6">
      <c r="A27" s="851"/>
      <c r="B27" s="857" t="s">
        <v>1214</v>
      </c>
      <c r="C27" s="863">
        <f>'Staaf Qtr'!G115</f>
        <v>7.8933593750000011</v>
      </c>
      <c r="D27" s="860" t="s">
        <v>25</v>
      </c>
      <c r="E27" s="863">
        <f>E22</f>
        <v>10473.299999999999</v>
      </c>
      <c r="F27" s="425">
        <f>E27*C27</f>
        <v>82669.520742187509</v>
      </c>
    </row>
    <row r="28" spans="1:6">
      <c r="A28" s="851"/>
      <c r="B28" s="857" t="s">
        <v>1250</v>
      </c>
      <c r="C28" s="863">
        <f>'Staaf Qtr'!G120</f>
        <v>1.0689593750000002</v>
      </c>
      <c r="D28" s="860" t="s">
        <v>25</v>
      </c>
      <c r="E28" s="863">
        <f>E23</f>
        <v>11549.5</v>
      </c>
      <c r="F28" s="425">
        <f>E28*C28</f>
        <v>12345.946301562502</v>
      </c>
    </row>
    <row r="29" spans="1:6">
      <c r="A29" s="851"/>
      <c r="B29" s="857"/>
      <c r="C29" s="863"/>
      <c r="D29" s="860"/>
      <c r="E29" s="863"/>
      <c r="F29" s="425"/>
    </row>
    <row r="30" spans="1:6">
      <c r="A30" s="851"/>
      <c r="B30" s="858" t="s">
        <v>651</v>
      </c>
      <c r="C30" s="863"/>
      <c r="D30" s="860"/>
      <c r="E30" s="860"/>
      <c r="F30" s="425"/>
    </row>
    <row r="31" spans="1:6">
      <c r="A31" s="851"/>
      <c r="B31" s="857" t="s">
        <v>1051</v>
      </c>
      <c r="C31" s="863">
        <f>'Staaf Qtr'!G161</f>
        <v>1.3626525000000003</v>
      </c>
      <c r="D31" s="860" t="s">
        <v>25</v>
      </c>
      <c r="E31" s="863">
        <f>ANALYSIS!F448</f>
        <v>8513.4</v>
      </c>
      <c r="F31" s="425">
        <f>E31*C31</f>
        <v>11600.805793500002</v>
      </c>
    </row>
    <row r="32" spans="1:6">
      <c r="A32" s="851"/>
      <c r="B32" s="857" t="s">
        <v>1214</v>
      </c>
      <c r="C32" s="863">
        <f>'Staaf Qtr'!G177</f>
        <v>1.3626525000000003</v>
      </c>
      <c r="D32" s="860" t="s">
        <v>25</v>
      </c>
      <c r="E32" s="863">
        <f>ANALYSIS!F454</f>
        <v>9199.9</v>
      </c>
      <c r="F32" s="425">
        <f>E32*C32</f>
        <v>12536.266734750003</v>
      </c>
    </row>
    <row r="33" spans="1:6">
      <c r="A33" s="851"/>
      <c r="B33" s="857" t="s">
        <v>1250</v>
      </c>
      <c r="C33" s="863">
        <f>'Staaf Qtr'!G180</f>
        <v>5.3625000000000006E-2</v>
      </c>
      <c r="D33" s="860" t="s">
        <v>25</v>
      </c>
      <c r="E33" s="863">
        <f>ANALYSIS!F460</f>
        <v>10021.700000000001</v>
      </c>
      <c r="F33" s="425">
        <f>E33*C33</f>
        <v>537.4136625000001</v>
      </c>
    </row>
    <row r="34" spans="1:6">
      <c r="A34" s="1003"/>
      <c r="B34" s="1004"/>
      <c r="C34" s="1005"/>
      <c r="D34" s="917"/>
      <c r="E34" s="1005"/>
      <c r="F34" s="1006"/>
    </row>
    <row r="35" spans="1:6">
      <c r="A35" s="851"/>
      <c r="B35" s="858" t="s">
        <v>974</v>
      </c>
      <c r="C35" s="863"/>
      <c r="D35" s="860"/>
      <c r="E35" s="860"/>
      <c r="F35" s="425"/>
    </row>
    <row r="36" spans="1:6">
      <c r="A36" s="851"/>
      <c r="B36" s="857" t="s">
        <v>1051</v>
      </c>
      <c r="C36" s="863">
        <f>'Staaf Qtr'!G131</f>
        <v>17.366392999999999</v>
      </c>
      <c r="D36" s="860" t="s">
        <v>25</v>
      </c>
      <c r="E36" s="863">
        <f>ANALYSIS!F372</f>
        <v>8872</v>
      </c>
      <c r="F36" s="425">
        <f>E36*C36</f>
        <v>154074.63869599998</v>
      </c>
    </row>
    <row r="37" spans="1:6">
      <c r="A37" s="851"/>
      <c r="B37" s="857" t="s">
        <v>1214</v>
      </c>
      <c r="C37" s="863">
        <f>'Staaf Qtr'!G141</f>
        <v>17.366392999999999</v>
      </c>
      <c r="D37" s="860" t="s">
        <v>25</v>
      </c>
      <c r="E37" s="863">
        <f>ANALYSIS!F378</f>
        <v>9630.2999999999993</v>
      </c>
      <c r="F37" s="425">
        <f>E37*C37</f>
        <v>167243.57450789996</v>
      </c>
    </row>
    <row r="38" spans="1:6">
      <c r="A38" s="851"/>
      <c r="B38" s="857" t="s">
        <v>1250</v>
      </c>
      <c r="C38" s="863">
        <f>'Staaf Qtr'!G144</f>
        <v>1.1556256250000001</v>
      </c>
      <c r="D38" s="860" t="s">
        <v>25</v>
      </c>
      <c r="E38" s="863">
        <f>ANALYSIS!F384</f>
        <v>10538.5</v>
      </c>
      <c r="F38" s="425">
        <f>E38*C38</f>
        <v>12178.560649062501</v>
      </c>
    </row>
    <row r="39" spans="1:6">
      <c r="A39" s="851"/>
      <c r="B39" s="857"/>
      <c r="C39" s="863"/>
      <c r="D39" s="860"/>
      <c r="E39" s="863"/>
      <c r="F39" s="425"/>
    </row>
    <row r="40" spans="1:6">
      <c r="A40" s="851"/>
      <c r="B40" s="857"/>
      <c r="C40" s="863"/>
      <c r="D40" s="860"/>
      <c r="E40" s="863"/>
      <c r="F40" s="425"/>
    </row>
    <row r="41" spans="1:6">
      <c r="A41" s="851"/>
      <c r="B41" s="858" t="s">
        <v>975</v>
      </c>
      <c r="C41" s="863"/>
      <c r="D41" s="860"/>
      <c r="E41" s="860"/>
      <c r="F41" s="425"/>
    </row>
    <row r="42" spans="1:6">
      <c r="A42" s="851"/>
      <c r="B42" s="857" t="s">
        <v>1051</v>
      </c>
      <c r="C42" s="863">
        <f>'Staaf Qtr'!G188</f>
        <v>5.1578999999999997</v>
      </c>
      <c r="D42" s="860" t="s">
        <v>32</v>
      </c>
      <c r="E42" s="863">
        <f>ANALYSIS!F524</f>
        <v>700.3</v>
      </c>
      <c r="F42" s="425">
        <f>E42*C42</f>
        <v>3612.0773699999995</v>
      </c>
    </row>
    <row r="43" spans="1:6">
      <c r="A43" s="851"/>
      <c r="B43" s="857" t="s">
        <v>1214</v>
      </c>
      <c r="C43" s="863">
        <f>'Staaf Qtr'!G195</f>
        <v>5.1578999999999997</v>
      </c>
      <c r="D43" s="860" t="s">
        <v>32</v>
      </c>
      <c r="E43" s="863">
        <f>ANALYSIS!F529</f>
        <v>774.26552700000002</v>
      </c>
      <c r="F43" s="425">
        <f>E43*C43</f>
        <v>3993.5841617133001</v>
      </c>
    </row>
    <row r="44" spans="1:6">
      <c r="A44" s="851"/>
      <c r="B44" s="857"/>
      <c r="C44" s="863"/>
      <c r="D44" s="860"/>
      <c r="E44" s="863"/>
      <c r="F44" s="425"/>
    </row>
    <row r="45" spans="1:6">
      <c r="A45" s="851"/>
      <c r="B45" s="858" t="s">
        <v>561</v>
      </c>
      <c r="C45" s="863"/>
      <c r="D45" s="860"/>
      <c r="E45" s="863"/>
      <c r="F45" s="425"/>
    </row>
    <row r="46" spans="1:6">
      <c r="A46" s="851"/>
      <c r="B46" s="857" t="s">
        <v>1051</v>
      </c>
      <c r="C46" s="863">
        <f>'Staaf Qtr'!G93</f>
        <v>2.0953349999999995</v>
      </c>
      <c r="D46" s="860" t="s">
        <v>25</v>
      </c>
      <c r="E46" s="863">
        <f>ANALYSIS!F393</f>
        <v>8544.1</v>
      </c>
      <c r="F46" s="425">
        <f>E46*C46</f>
        <v>17902.751773499996</v>
      </c>
    </row>
    <row r="47" spans="1:6">
      <c r="A47" s="851"/>
      <c r="B47" s="857" t="s">
        <v>1214</v>
      </c>
      <c r="C47" s="863">
        <f>'Staaf Qtr'!G96</f>
        <v>2.0953349999999995</v>
      </c>
      <c r="D47" s="860" t="s">
        <v>25</v>
      </c>
      <c r="E47" s="863">
        <f>ANALYSIS!F399</f>
        <v>9236.2999999999993</v>
      </c>
      <c r="F47" s="425">
        <f>E47*C47</f>
        <v>19353.142660499994</v>
      </c>
    </row>
    <row r="48" spans="1:6">
      <c r="A48" s="851"/>
      <c r="B48" s="857"/>
      <c r="C48" s="863"/>
      <c r="D48" s="860"/>
      <c r="E48" s="860"/>
      <c r="F48" s="425"/>
    </row>
    <row r="49" spans="1:6" ht="63.75">
      <c r="A49" s="851">
        <v>7</v>
      </c>
      <c r="B49" s="857" t="s">
        <v>976</v>
      </c>
      <c r="C49" s="865"/>
      <c r="D49" s="865"/>
      <c r="E49" s="865"/>
      <c r="F49" s="865"/>
    </row>
    <row r="50" spans="1:6">
      <c r="A50" s="851"/>
      <c r="B50" s="857" t="s">
        <v>1051</v>
      </c>
      <c r="C50" s="863">
        <f>'Staaf Qtr'!E209</f>
        <v>103.94658384</v>
      </c>
      <c r="D50" s="860" t="s">
        <v>127</v>
      </c>
      <c r="E50" s="863">
        <f>ANALYSIS!F585</f>
        <v>5484.2</v>
      </c>
      <c r="F50" s="425">
        <f>E50*C50</f>
        <v>570063.85509532795</v>
      </c>
    </row>
    <row r="51" spans="1:6">
      <c r="A51" s="851"/>
      <c r="B51" s="857" t="s">
        <v>1214</v>
      </c>
      <c r="C51" s="863">
        <f>'Staaf Qtr'!E219</f>
        <v>56.304064080000011</v>
      </c>
      <c r="D51" s="860" t="s">
        <v>127</v>
      </c>
      <c r="E51" s="863">
        <f>ANALYSIS!F590</f>
        <v>5498.4</v>
      </c>
      <c r="F51" s="425">
        <f>E51*C51</f>
        <v>309582.26593747205</v>
      </c>
    </row>
    <row r="52" spans="1:6">
      <c r="A52" s="851"/>
      <c r="B52" s="857" t="s">
        <v>1250</v>
      </c>
      <c r="C52" s="863">
        <f>'Staaf Qtr'!E227</f>
        <v>5.6333054250000005</v>
      </c>
      <c r="D52" s="860" t="s">
        <v>127</v>
      </c>
      <c r="E52" s="863">
        <f>ANALYSIS!F595</f>
        <v>5507.4</v>
      </c>
      <c r="F52" s="425">
        <f>E52*C52</f>
        <v>31024.866297645</v>
      </c>
    </row>
    <row r="53" spans="1:6">
      <c r="A53" s="851"/>
      <c r="B53" s="857"/>
      <c r="C53" s="865"/>
      <c r="D53" s="865"/>
      <c r="E53" s="860"/>
      <c r="F53" s="869"/>
    </row>
    <row r="54" spans="1:6" ht="216.75">
      <c r="A54" s="851">
        <v>8</v>
      </c>
      <c r="B54" s="852" t="s">
        <v>1247</v>
      </c>
      <c r="C54" s="860"/>
      <c r="D54" s="860"/>
      <c r="E54" s="860"/>
      <c r="F54" s="425"/>
    </row>
    <row r="55" spans="1:6">
      <c r="A55" s="851"/>
      <c r="B55" s="857" t="s">
        <v>1051</v>
      </c>
      <c r="C55" s="863">
        <f>'Staaf Qtr'!G288</f>
        <v>29.730525000000007</v>
      </c>
      <c r="D55" s="860" t="s">
        <v>25</v>
      </c>
      <c r="E55" s="863">
        <f>ANALYSIS!F175</f>
        <v>4260.3</v>
      </c>
      <c r="F55" s="425">
        <f>E55*C55</f>
        <v>126660.95565750003</v>
      </c>
    </row>
    <row r="56" spans="1:6">
      <c r="A56" s="851"/>
      <c r="B56" s="852" t="s">
        <v>1214</v>
      </c>
      <c r="C56" s="863">
        <f>'Staaf Qtr'!G341</f>
        <v>29.730525000000007</v>
      </c>
      <c r="D56" s="860" t="s">
        <v>25</v>
      </c>
      <c r="E56" s="863">
        <f>ANALYSIS!F182</f>
        <v>4423.2</v>
      </c>
      <c r="F56" s="425">
        <f>E56*C56</f>
        <v>131504.05818000002</v>
      </c>
    </row>
    <row r="57" spans="1:6">
      <c r="A57" s="851"/>
      <c r="B57" s="852" t="s">
        <v>1205</v>
      </c>
      <c r="C57" s="863">
        <f>'Staaf Qtr'!G366</f>
        <v>16.895862500000003</v>
      </c>
      <c r="D57" s="860" t="s">
        <v>25</v>
      </c>
      <c r="E57" s="863">
        <f>ANALYSIS!F190</f>
        <v>4610.5</v>
      </c>
      <c r="F57" s="425">
        <f>E57*C57</f>
        <v>77898.374056250017</v>
      </c>
    </row>
    <row r="58" spans="1:6">
      <c r="A58" s="851"/>
      <c r="B58" s="852"/>
      <c r="C58" s="863"/>
      <c r="D58" s="860"/>
      <c r="E58" s="863"/>
      <c r="F58" s="425"/>
    </row>
    <row r="59" spans="1:6" ht="204">
      <c r="A59" s="851">
        <v>9</v>
      </c>
      <c r="B59" s="859" t="s">
        <v>983</v>
      </c>
      <c r="C59" s="863"/>
      <c r="D59" s="860"/>
      <c r="E59" s="863"/>
      <c r="F59" s="862"/>
    </row>
    <row r="60" spans="1:6">
      <c r="A60" s="851"/>
      <c r="B60" s="857" t="s">
        <v>1051</v>
      </c>
      <c r="C60" s="863">
        <f>'Staaf Qtr'!G462</f>
        <v>244.55557500000003</v>
      </c>
      <c r="D60" s="860" t="s">
        <v>32</v>
      </c>
      <c r="E60" s="863">
        <f>ANALYSIS!F648</f>
        <v>131.9</v>
      </c>
      <c r="F60" s="862">
        <f>E60*C60</f>
        <v>32256.880342500004</v>
      </c>
    </row>
    <row r="61" spans="1:6">
      <c r="A61" s="851"/>
      <c r="B61" s="857" t="s">
        <v>1214</v>
      </c>
      <c r="C61" s="863">
        <f>'Staaf Qtr'!G494</f>
        <v>244.55557500000003</v>
      </c>
      <c r="D61" s="860" t="s">
        <v>32</v>
      </c>
      <c r="E61" s="863">
        <f>ANALYSIS!F654</f>
        <v>134.9</v>
      </c>
      <c r="F61" s="862">
        <f>E61*C61</f>
        <v>32990.547067500003</v>
      </c>
    </row>
    <row r="62" spans="1:6">
      <c r="A62" s="851"/>
      <c r="B62" s="857" t="s">
        <v>1250</v>
      </c>
      <c r="C62" s="863">
        <f>'Staaf Qtr'!G517</f>
        <v>87.582000000000008</v>
      </c>
      <c r="D62" s="860" t="s">
        <v>32</v>
      </c>
      <c r="E62" s="863">
        <f>ANALYSIS!F659</f>
        <v>138</v>
      </c>
      <c r="F62" s="862">
        <f>E62*C62</f>
        <v>12086.316000000001</v>
      </c>
    </row>
    <row r="63" spans="1:6">
      <c r="A63" s="851"/>
      <c r="B63" s="857"/>
      <c r="C63" s="863"/>
      <c r="D63" s="860"/>
      <c r="E63" s="863"/>
      <c r="F63" s="862"/>
    </row>
    <row r="64" spans="1:6" ht="204">
      <c r="A64" s="851">
        <v>10</v>
      </c>
      <c r="B64" s="857" t="s">
        <v>984</v>
      </c>
      <c r="C64" s="869"/>
      <c r="D64" s="865"/>
      <c r="E64" s="860"/>
      <c r="F64" s="862"/>
    </row>
    <row r="65" spans="1:6">
      <c r="A65" s="851"/>
      <c r="B65" s="852" t="s">
        <v>1051</v>
      </c>
      <c r="C65" s="863">
        <f>'Staaf Qtr'!G550</f>
        <v>167.68950000000007</v>
      </c>
      <c r="D65" s="860" t="s">
        <v>32</v>
      </c>
      <c r="E65" s="863">
        <f>ANALYSIS!F679</f>
        <v>138.30000000000001</v>
      </c>
      <c r="F65" s="862">
        <f>E65*C65</f>
        <v>23191.45785000001</v>
      </c>
    </row>
    <row r="66" spans="1:6">
      <c r="A66" s="851"/>
      <c r="B66" s="852" t="s">
        <v>1214</v>
      </c>
      <c r="C66" s="863">
        <f>'Staaf Qtr'!G582</f>
        <v>167.68950000000007</v>
      </c>
      <c r="D66" s="860" t="s">
        <v>32</v>
      </c>
      <c r="E66" s="863">
        <f>ANALYSIS!F684</f>
        <v>141.30000000000001</v>
      </c>
      <c r="F66" s="862">
        <f>E66*C66</f>
        <v>23694.526350000011</v>
      </c>
    </row>
    <row r="67" spans="1:6">
      <c r="A67" s="851"/>
      <c r="B67" s="852" t="s">
        <v>1205</v>
      </c>
      <c r="C67" s="863">
        <f>'Staaf Qtr'!G605</f>
        <v>102.7004</v>
      </c>
      <c r="D67" s="860" t="s">
        <v>32</v>
      </c>
      <c r="E67" s="863">
        <f>ANALYSIS!F689</f>
        <v>144.30000000000001</v>
      </c>
      <c r="F67" s="862">
        <f>E67*C67</f>
        <v>14819.667720000001</v>
      </c>
    </row>
    <row r="68" spans="1:6">
      <c r="A68" s="851"/>
      <c r="B68" s="852"/>
      <c r="C68" s="863"/>
      <c r="D68" s="860"/>
      <c r="E68" s="860"/>
      <c r="F68" s="862"/>
    </row>
    <row r="69" spans="1:6" ht="242.25">
      <c r="A69" s="851">
        <v>11</v>
      </c>
      <c r="B69" s="857" t="s">
        <v>985</v>
      </c>
      <c r="C69" s="863"/>
      <c r="D69" s="860"/>
      <c r="E69" s="860"/>
      <c r="F69" s="862"/>
    </row>
    <row r="70" spans="1:6">
      <c r="A70" s="851"/>
      <c r="B70" s="852" t="s">
        <v>1051</v>
      </c>
      <c r="C70" s="863">
        <f>'Staaf Qtr'!G622</f>
        <v>124.956568</v>
      </c>
      <c r="D70" s="860" t="s">
        <v>32</v>
      </c>
      <c r="E70" s="863">
        <f>ANALYSIS!F618</f>
        <v>109.2</v>
      </c>
      <c r="F70" s="862">
        <f>E70*C70</f>
        <v>13645.2572256</v>
      </c>
    </row>
    <row r="71" spans="1:6">
      <c r="A71" s="851"/>
      <c r="B71" s="852" t="s">
        <v>1214</v>
      </c>
      <c r="C71" s="863">
        <f>'Staaf Qtr'!G638</f>
        <v>124.956568</v>
      </c>
      <c r="D71" s="860" t="s">
        <v>32</v>
      </c>
      <c r="E71" s="863">
        <f>ANALYSIS!F623</f>
        <v>111.5</v>
      </c>
      <c r="F71" s="862">
        <f>E71*C71</f>
        <v>13932.657332000001</v>
      </c>
    </row>
    <row r="72" spans="1:6">
      <c r="A72" s="851"/>
      <c r="B72" s="852" t="s">
        <v>1250</v>
      </c>
      <c r="C72" s="863">
        <f>'Staaf Qtr'!G642</f>
        <v>12.215940000000002</v>
      </c>
      <c r="D72" s="860" t="s">
        <v>32</v>
      </c>
      <c r="E72" s="863">
        <f>ANALYSIS!F628</f>
        <v>113.9</v>
      </c>
      <c r="F72" s="862">
        <f>E72*C72</f>
        <v>1391.3955660000001</v>
      </c>
    </row>
    <row r="73" spans="1:6">
      <c r="A73" s="851"/>
      <c r="B73" s="852"/>
      <c r="C73" s="863"/>
      <c r="D73" s="860"/>
      <c r="E73" s="863"/>
      <c r="F73" s="862"/>
    </row>
    <row r="74" spans="1:6" ht="76.5">
      <c r="A74" s="851">
        <v>12</v>
      </c>
      <c r="B74" s="857" t="s">
        <v>1045</v>
      </c>
      <c r="C74" s="863">
        <f>'Staaf Qtr'!G661</f>
        <v>156.04863999999998</v>
      </c>
      <c r="D74" s="860" t="s">
        <v>32</v>
      </c>
      <c r="E74" s="863">
        <f>ANALYSIS!F854</f>
        <v>240.83788854999997</v>
      </c>
      <c r="F74" s="862">
        <f>E74*C74</f>
        <v>37582.424968699066</v>
      </c>
    </row>
    <row r="75" spans="1:6">
      <c r="A75" s="851"/>
      <c r="B75" s="870"/>
      <c r="C75" s="863"/>
      <c r="D75" s="860"/>
      <c r="E75" s="863"/>
      <c r="F75" s="862"/>
    </row>
    <row r="76" spans="1:6" ht="89.25">
      <c r="A76" s="851">
        <v>13</v>
      </c>
      <c r="B76" s="857" t="s">
        <v>1469</v>
      </c>
      <c r="C76" s="863">
        <f>'Staaf Qtr'!G694</f>
        <v>1276.9016260000001</v>
      </c>
      <c r="D76" s="860" t="s">
        <v>32</v>
      </c>
      <c r="E76" s="863">
        <f>('ANALYSIS (2)'!F758+'ANALYSIS (2)'!F758)/2</f>
        <v>129.80000000000001</v>
      </c>
      <c r="F76" s="862">
        <f>E76*C76</f>
        <v>165741.83105480002</v>
      </c>
    </row>
    <row r="77" spans="1:6">
      <c r="A77" s="851"/>
      <c r="B77" s="852"/>
      <c r="C77" s="865"/>
      <c r="D77" s="865"/>
      <c r="E77" s="860"/>
      <c r="F77" s="865"/>
    </row>
    <row r="78" spans="1:6" ht="173.25">
      <c r="A78" s="851">
        <v>14</v>
      </c>
      <c r="B78" s="852" t="s">
        <v>1248</v>
      </c>
      <c r="C78" s="863"/>
      <c r="D78" s="860"/>
      <c r="E78" s="860"/>
      <c r="F78" s="862"/>
    </row>
    <row r="79" spans="1:6">
      <c r="A79" s="851"/>
      <c r="B79" s="852" t="s">
        <v>1446</v>
      </c>
      <c r="C79" s="863">
        <f>'Staaf Qtr'!G381+'Staaf Qtr'!G393</f>
        <v>159.64575000000002</v>
      </c>
      <c r="D79" s="860" t="s">
        <v>32</v>
      </c>
      <c r="E79" s="863">
        <f>ANALYSIS!F909</f>
        <v>680.3</v>
      </c>
      <c r="F79" s="862">
        <f>E79*C79</f>
        <v>108607.003725</v>
      </c>
    </row>
    <row r="80" spans="1:6">
      <c r="A80" s="851"/>
      <c r="B80" s="852"/>
      <c r="C80" s="863"/>
      <c r="D80" s="860"/>
      <c r="E80" s="863"/>
      <c r="F80" s="862"/>
    </row>
    <row r="81" spans="1:6" ht="89.25">
      <c r="A81" s="851">
        <v>15</v>
      </c>
      <c r="B81" s="852" t="s">
        <v>160</v>
      </c>
      <c r="C81" s="863"/>
      <c r="D81" s="860"/>
      <c r="E81" s="863"/>
      <c r="F81" s="862"/>
    </row>
    <row r="82" spans="1:6">
      <c r="A82" s="851"/>
      <c r="B82" s="852" t="s">
        <v>1446</v>
      </c>
      <c r="C82" s="863">
        <f>'Staaf Qtr'!G400+'Staaf Qtr'!G406</f>
        <v>23.991</v>
      </c>
      <c r="D82" s="860" t="s">
        <v>32</v>
      </c>
      <c r="E82" s="863">
        <f>ANALYSIS!F877</f>
        <v>763.4</v>
      </c>
      <c r="F82" s="862">
        <f>E82*C82</f>
        <v>18314.7294</v>
      </c>
    </row>
    <row r="83" spans="1:6">
      <c r="A83" s="851"/>
      <c r="B83" s="852"/>
      <c r="C83" s="863"/>
      <c r="D83" s="860"/>
      <c r="E83" s="863"/>
      <c r="F83" s="862"/>
    </row>
    <row r="84" spans="1:6" ht="102">
      <c r="A84" s="851">
        <v>16</v>
      </c>
      <c r="B84" s="852" t="s">
        <v>1312</v>
      </c>
      <c r="C84" s="871"/>
      <c r="D84" s="865"/>
      <c r="E84" s="863"/>
      <c r="F84" s="862"/>
    </row>
    <row r="85" spans="1:6">
      <c r="A85" s="851"/>
      <c r="B85" s="852" t="s">
        <v>1051</v>
      </c>
      <c r="C85" s="862">
        <f>'Staaf Qtr'!G417</f>
        <v>100.96966</v>
      </c>
      <c r="D85" s="860" t="s">
        <v>32</v>
      </c>
      <c r="E85" s="863">
        <f>ANALYSIS!G1486</f>
        <v>365.4</v>
      </c>
      <c r="F85" s="862">
        <f>E85*C85</f>
        <v>36894.313763999999</v>
      </c>
    </row>
    <row r="86" spans="1:6">
      <c r="A86" s="851"/>
      <c r="B86" s="852" t="s">
        <v>1214</v>
      </c>
      <c r="C86" s="862">
        <f>'Staaf Qtr'!G429</f>
        <v>110.51765999999999</v>
      </c>
      <c r="D86" s="860" t="s">
        <v>32</v>
      </c>
      <c r="E86" s="863">
        <f>ANALYSIS!G1491</f>
        <v>373.6</v>
      </c>
      <c r="F86" s="862">
        <f>E86*C86</f>
        <v>41289.397775999998</v>
      </c>
    </row>
    <row r="87" spans="1:6">
      <c r="A87" s="851"/>
      <c r="B87" s="852"/>
      <c r="C87" s="863"/>
      <c r="D87" s="860"/>
      <c r="E87" s="863"/>
      <c r="F87" s="862"/>
    </row>
    <row r="88" spans="1:6" ht="165.75">
      <c r="A88" s="851">
        <v>17</v>
      </c>
      <c r="B88" s="857" t="s">
        <v>1055</v>
      </c>
      <c r="C88" s="863">
        <f>'Staaf Qtr'!G686</f>
        <v>529.95689999999991</v>
      </c>
      <c r="D88" s="860" t="s">
        <v>447</v>
      </c>
      <c r="E88" s="863">
        <f>ANALYSIS!F777</f>
        <v>71.099999999999994</v>
      </c>
      <c r="F88" s="862">
        <f>E88*C88</f>
        <v>37679.935589999994</v>
      </c>
    </row>
    <row r="89" spans="1:6">
      <c r="A89" s="851"/>
      <c r="B89" s="852"/>
      <c r="C89" s="872"/>
      <c r="D89" s="860"/>
      <c r="E89" s="863"/>
      <c r="F89" s="862"/>
    </row>
    <row r="90" spans="1:6" ht="127.5">
      <c r="A90" s="851">
        <v>18</v>
      </c>
      <c r="B90" s="873" t="s">
        <v>981</v>
      </c>
      <c r="C90" s="863">
        <f>'Staaf Qtr'!G711+'Staaf Qtr'!G716</f>
        <v>32.313599999999994</v>
      </c>
      <c r="D90" s="860" t="s">
        <v>447</v>
      </c>
      <c r="E90" s="863">
        <f>ANALYSIS!F1191</f>
        <v>437</v>
      </c>
      <c r="F90" s="862">
        <f>E90*C90</f>
        <v>14121.043199999996</v>
      </c>
    </row>
    <row r="91" spans="1:6">
      <c r="A91" s="851"/>
      <c r="B91" s="873"/>
      <c r="C91" s="863"/>
      <c r="D91" s="860"/>
      <c r="E91" s="863"/>
      <c r="F91" s="862"/>
    </row>
    <row r="92" spans="1:6" ht="153">
      <c r="A92" s="851">
        <v>19</v>
      </c>
      <c r="B92" s="857" t="s">
        <v>462</v>
      </c>
      <c r="C92" s="863"/>
      <c r="D92" s="860"/>
      <c r="E92" s="863"/>
      <c r="F92" s="862"/>
    </row>
    <row r="93" spans="1:6">
      <c r="A93" s="851"/>
      <c r="B93" s="857" t="s">
        <v>1051</v>
      </c>
      <c r="C93" s="863">
        <f>'Staaf Qtr'!G711</f>
        <v>16.156799999999997</v>
      </c>
      <c r="D93" s="860" t="s">
        <v>434</v>
      </c>
      <c r="E93" s="863">
        <f>ANALYSIS!F800</f>
        <v>3358</v>
      </c>
      <c r="F93" s="862">
        <f>E93*C93</f>
        <v>54254.53439999999</v>
      </c>
    </row>
    <row r="94" spans="1:6">
      <c r="A94" s="851"/>
      <c r="B94" s="857" t="s">
        <v>1214</v>
      </c>
      <c r="C94" s="863">
        <f>'Staaf Qtr'!G716</f>
        <v>16.156799999999997</v>
      </c>
      <c r="D94" s="860" t="s">
        <v>434</v>
      </c>
      <c r="E94" s="863">
        <f>ANALYSIS!F806</f>
        <v>3360.9</v>
      </c>
      <c r="F94" s="862">
        <f>E94*C94</f>
        <v>54301.389119999993</v>
      </c>
    </row>
    <row r="95" spans="1:6">
      <c r="A95" s="851"/>
      <c r="B95" s="854"/>
      <c r="C95" s="865"/>
      <c r="D95" s="865"/>
      <c r="E95" s="865"/>
      <c r="F95" s="865"/>
    </row>
    <row r="96" spans="1:6" ht="165.75">
      <c r="A96" s="851">
        <v>20</v>
      </c>
      <c r="B96" s="857" t="s">
        <v>1056</v>
      </c>
      <c r="C96" s="863">
        <f>'Staaf Qtr'!G773</f>
        <v>19.700999999999997</v>
      </c>
      <c r="D96" s="860" t="s">
        <v>32</v>
      </c>
      <c r="E96" s="863">
        <f>(ANALYSIS!F1215+ANALYSIS!F1220)/2</f>
        <v>127.8</v>
      </c>
      <c r="F96" s="862">
        <f>E96*C96</f>
        <v>2517.7877999999996</v>
      </c>
    </row>
    <row r="97" spans="1:6">
      <c r="A97" s="851"/>
      <c r="B97" s="857"/>
      <c r="C97" s="863"/>
      <c r="D97" s="860"/>
      <c r="E97" s="863"/>
      <c r="F97" s="862"/>
    </row>
    <row r="98" spans="1:6" ht="76.5">
      <c r="A98" s="851">
        <v>21</v>
      </c>
      <c r="B98" s="857" t="s">
        <v>1253</v>
      </c>
      <c r="C98" s="863">
        <f>'Staaf Qtr'!G744</f>
        <v>0.83820000000000006</v>
      </c>
      <c r="D98" s="860" t="s">
        <v>25</v>
      </c>
      <c r="E98" s="869">
        <v>68202.92</v>
      </c>
      <c r="F98" s="862">
        <f>E98*C98</f>
        <v>57167.687544</v>
      </c>
    </row>
    <row r="99" spans="1:6">
      <c r="A99" s="851"/>
      <c r="B99" s="852"/>
      <c r="C99" s="865"/>
      <c r="D99" s="865"/>
      <c r="E99" s="865"/>
      <c r="F99" s="865"/>
    </row>
    <row r="100" spans="1:6" ht="191.25">
      <c r="A100" s="851">
        <v>22</v>
      </c>
      <c r="B100" s="3" t="s">
        <v>1484</v>
      </c>
      <c r="C100" s="869">
        <f>'Staaf Qtr'!G735</f>
        <v>42.966000000000001</v>
      </c>
      <c r="D100" s="860" t="s">
        <v>836</v>
      </c>
      <c r="E100" s="863">
        <f>ANALYSIS!F1383</f>
        <v>5509</v>
      </c>
      <c r="F100" s="862">
        <f>E100*C100</f>
        <v>236699.69400000002</v>
      </c>
    </row>
    <row r="101" spans="1:6">
      <c r="A101" s="851"/>
      <c r="B101" s="874"/>
      <c r="C101" s="869"/>
      <c r="D101" s="869"/>
      <c r="E101" s="875"/>
      <c r="F101" s="862"/>
    </row>
    <row r="102" spans="1:6" ht="409.5">
      <c r="A102" s="851">
        <v>23</v>
      </c>
      <c r="B102" s="857" t="s">
        <v>650</v>
      </c>
      <c r="C102" s="425">
        <f>'Staaf Qtr'!G757</f>
        <v>43.56</v>
      </c>
      <c r="D102" s="425" t="s">
        <v>350</v>
      </c>
      <c r="E102" s="425">
        <v>2503</v>
      </c>
      <c r="F102" s="862">
        <f>E102*C102</f>
        <v>109030.68000000001</v>
      </c>
    </row>
    <row r="103" spans="1:6">
      <c r="A103" s="851"/>
      <c r="B103" s="857"/>
      <c r="C103" s="869"/>
      <c r="D103" s="860"/>
      <c r="E103" s="875"/>
      <c r="F103" s="862"/>
    </row>
    <row r="104" spans="1:6" ht="242.25">
      <c r="A104" s="851">
        <v>24</v>
      </c>
      <c r="B104" s="859" t="s">
        <v>649</v>
      </c>
      <c r="C104" s="863">
        <f>'Staaf Qtr'!G757</f>
        <v>43.56</v>
      </c>
      <c r="D104" s="860" t="s">
        <v>434</v>
      </c>
      <c r="E104" s="863">
        <v>339.5</v>
      </c>
      <c r="F104" s="862">
        <f>E104*C104</f>
        <v>14788.62</v>
      </c>
    </row>
    <row r="105" spans="1:6">
      <c r="A105" s="851"/>
      <c r="B105" s="857"/>
      <c r="C105" s="869"/>
      <c r="D105" s="869"/>
      <c r="E105" s="876"/>
      <c r="F105" s="862"/>
    </row>
    <row r="106" spans="1:6" ht="153">
      <c r="A106" s="851">
        <v>25</v>
      </c>
      <c r="B106" s="859" t="s">
        <v>1058</v>
      </c>
      <c r="C106" s="863">
        <f>'Staaf Qtr'!G763</f>
        <v>4.5705</v>
      </c>
      <c r="D106" s="860" t="s">
        <v>32</v>
      </c>
      <c r="E106" s="425">
        <v>3500</v>
      </c>
      <c r="F106" s="862">
        <f>E106*C106</f>
        <v>15996.75</v>
      </c>
    </row>
    <row r="107" spans="1:6">
      <c r="A107" s="853"/>
      <c r="B107" s="854"/>
      <c r="C107" s="869"/>
      <c r="D107" s="865"/>
      <c r="E107" s="877" t="s">
        <v>117</v>
      </c>
      <c r="F107" s="878">
        <f>SUM(F3:F106)</f>
        <v>3663599.6728989976</v>
      </c>
    </row>
    <row r="108" spans="1:6">
      <c r="A108" s="853"/>
      <c r="B108" s="854"/>
      <c r="C108" s="865"/>
      <c r="D108" s="865"/>
      <c r="E108" s="860" t="s">
        <v>120</v>
      </c>
      <c r="F108" s="878">
        <f>ROUND(F107,0)</f>
        <v>3663600</v>
      </c>
    </row>
  </sheetData>
  <mergeCells count="1">
    <mergeCell ref="A1:F1"/>
  </mergeCells>
  <pageMargins left="0.45" right="0.45" top="1" bottom="0.75" header="0.3" footer="0.3"/>
  <pageSetup paperSize="9" orientation="portrait" r:id="rId1"/>
  <headerFooter>
    <oddHeader>&amp;C&amp;"Arial,Bold"&amp;12PROJECT:-&amp;"Arial,Regular"
PROPOSED CONSTRUCTION OF EMRS (Ekalavya Model Residential School)
 AT BIKRAMPUR, DIST:-RAYAGADA, ODISHA.</oddHeader>
    <oddFooter>&amp;L&amp;"Arial,Bold"&amp;11HSCL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4"/>
  <sheetViews>
    <sheetView workbookViewId="0">
      <selection activeCell="K682" sqref="K682"/>
    </sheetView>
  </sheetViews>
  <sheetFormatPr defaultRowHeight="12.75"/>
  <cols>
    <col min="1" max="1" width="9.140625" style="861"/>
    <col min="2" max="2" width="15.28515625" style="861" customWidth="1"/>
    <col min="3" max="4" width="9.140625" style="861"/>
    <col min="5" max="5" width="9.5703125" style="861" bestFit="1" customWidth="1"/>
    <col min="6" max="7" width="9.140625" style="861"/>
    <col min="8" max="8" width="15.42578125" style="861" customWidth="1"/>
    <col min="9" max="16384" width="9.140625" style="861"/>
  </cols>
  <sheetData>
    <row r="1" spans="1:8" ht="49.5" customHeight="1">
      <c r="A1" s="1290" t="s">
        <v>1447</v>
      </c>
      <c r="B1" s="1290"/>
      <c r="C1" s="1290"/>
      <c r="D1" s="1290"/>
      <c r="E1" s="1290"/>
      <c r="F1" s="1290"/>
      <c r="G1" s="1290"/>
      <c r="H1" s="1290"/>
    </row>
    <row r="2" spans="1:8" ht="18">
      <c r="A2" s="1291" t="s">
        <v>1217</v>
      </c>
      <c r="B2" s="1291"/>
      <c r="C2" s="1291"/>
      <c r="D2" s="1291"/>
      <c r="E2" s="1291"/>
      <c r="F2" s="1291"/>
      <c r="G2" s="1291"/>
      <c r="H2" s="1291"/>
    </row>
    <row r="3" spans="1:8" ht="18">
      <c r="A3" s="880"/>
      <c r="B3" s="880"/>
      <c r="C3" s="880"/>
      <c r="D3" s="880"/>
      <c r="E3" s="880"/>
      <c r="F3" s="880"/>
      <c r="G3" s="880"/>
      <c r="H3" s="880"/>
    </row>
    <row r="4" spans="1:8">
      <c r="A4" s="561" t="s">
        <v>172</v>
      </c>
      <c r="B4" s="561" t="s">
        <v>1157</v>
      </c>
      <c r="C4" s="561" t="s">
        <v>62</v>
      </c>
      <c r="D4" s="561" t="s">
        <v>1218</v>
      </c>
      <c r="E4" s="561" t="s">
        <v>38</v>
      </c>
      <c r="F4" s="561" t="s">
        <v>570</v>
      </c>
      <c r="G4" s="562" t="s">
        <v>1158</v>
      </c>
      <c r="H4" s="883" t="s">
        <v>21</v>
      </c>
    </row>
    <row r="5" spans="1:8">
      <c r="A5" s="561"/>
      <c r="B5" s="561"/>
      <c r="C5" s="561"/>
      <c r="D5" s="561"/>
      <c r="E5" s="561"/>
      <c r="F5" s="561"/>
      <c r="G5" s="562"/>
      <c r="H5" s="883"/>
    </row>
    <row r="6" spans="1:8">
      <c r="A6" s="161">
        <v>1</v>
      </c>
      <c r="B6" s="884" t="s">
        <v>1219</v>
      </c>
      <c r="C6" s="849"/>
      <c r="D6" s="849"/>
      <c r="E6" s="849"/>
      <c r="F6" s="849"/>
      <c r="G6" s="885"/>
      <c r="H6" s="886"/>
    </row>
    <row r="7" spans="1:8">
      <c r="A7" s="161"/>
      <c r="B7" s="1007" t="s">
        <v>1299</v>
      </c>
      <c r="C7" s="888">
        <v>18</v>
      </c>
      <c r="D7" s="890">
        <v>2.2999999999999998</v>
      </c>
      <c r="E7" s="890">
        <v>2.6</v>
      </c>
      <c r="F7" s="890">
        <f>5*0.3</f>
        <v>1.5</v>
      </c>
      <c r="G7" s="863">
        <f>F7*E7*D7*C7</f>
        <v>161.46</v>
      </c>
      <c r="H7" s="886"/>
    </row>
    <row r="8" spans="1:8">
      <c r="A8" s="161"/>
      <c r="B8" s="1007" t="s">
        <v>1300</v>
      </c>
      <c r="C8" s="888">
        <v>6</v>
      </c>
      <c r="D8" s="890">
        <v>2</v>
      </c>
      <c r="E8" s="890">
        <v>2.2999999999999998</v>
      </c>
      <c r="F8" s="890">
        <f>5*0.3</f>
        <v>1.5</v>
      </c>
      <c r="G8" s="863">
        <f>F8*E8*D8*C8</f>
        <v>41.4</v>
      </c>
      <c r="H8" s="886"/>
    </row>
    <row r="9" spans="1:8" ht="15">
      <c r="A9" s="901"/>
      <c r="B9" s="891" t="s">
        <v>1241</v>
      </c>
      <c r="C9" s="860">
        <v>1</v>
      </c>
      <c r="D9" s="863">
        <v>62</v>
      </c>
      <c r="E9" s="889">
        <v>0.7</v>
      </c>
      <c r="F9" s="889">
        <v>0.75</v>
      </c>
      <c r="G9" s="889">
        <f>F9*E9*D9*C9</f>
        <v>32.549999999999997</v>
      </c>
      <c r="H9" s="1008"/>
    </row>
    <row r="10" spans="1:8" ht="15">
      <c r="A10" s="901"/>
      <c r="B10" s="968"/>
      <c r="C10" s="971"/>
      <c r="D10" s="1009"/>
      <c r="E10" s="1009"/>
      <c r="F10" s="1009"/>
      <c r="G10" s="1010">
        <f>SUM(G7:G9)</f>
        <v>235.41000000000003</v>
      </c>
      <c r="H10" s="926" t="s">
        <v>25</v>
      </c>
    </row>
    <row r="11" spans="1:8">
      <c r="A11" s="161"/>
      <c r="B11" s="884"/>
      <c r="C11" s="849"/>
      <c r="D11" s="890"/>
      <c r="E11" s="890"/>
      <c r="F11" s="890"/>
      <c r="G11" s="889">
        <f>G10*10%</f>
        <v>23.541000000000004</v>
      </c>
      <c r="H11" s="904"/>
    </row>
    <row r="12" spans="1:8">
      <c r="A12" s="161"/>
      <c r="B12" s="884"/>
      <c r="C12" s="849"/>
      <c r="D12" s="890"/>
      <c r="E12" s="890"/>
      <c r="F12" s="890"/>
      <c r="G12" s="894">
        <f>G11+G10</f>
        <v>258.95100000000002</v>
      </c>
      <c r="H12" s="926" t="s">
        <v>25</v>
      </c>
    </row>
    <row r="13" spans="1:8" ht="15.75">
      <c r="A13" s="161">
        <v>2</v>
      </c>
      <c r="B13" s="896" t="s">
        <v>600</v>
      </c>
      <c r="C13" s="896"/>
      <c r="D13" s="1000"/>
      <c r="E13" s="947"/>
      <c r="F13" s="1000"/>
      <c r="G13" s="898"/>
      <c r="H13" s="886"/>
    </row>
    <row r="14" spans="1:8" ht="15.75">
      <c r="A14" s="901"/>
      <c r="B14" s="902" t="s">
        <v>1242</v>
      </c>
      <c r="C14" s="849"/>
      <c r="D14" s="890"/>
      <c r="E14" s="890"/>
      <c r="F14" s="890"/>
      <c r="G14" s="863"/>
      <c r="H14" s="904"/>
    </row>
    <row r="15" spans="1:8">
      <c r="A15" s="901"/>
      <c r="B15" s="1007" t="s">
        <v>1299</v>
      </c>
      <c r="C15" s="888">
        <v>18</v>
      </c>
      <c r="D15" s="890">
        <v>2.6</v>
      </c>
      <c r="E15" s="890">
        <v>2.6</v>
      </c>
      <c r="F15" s="890">
        <f>0.5*0.3</f>
        <v>0.15</v>
      </c>
      <c r="G15" s="889">
        <f>F15*E15*D15*C15</f>
        <v>18.251999999999999</v>
      </c>
      <c r="H15" s="904"/>
    </row>
    <row r="16" spans="1:8">
      <c r="A16" s="901"/>
      <c r="B16" s="1007" t="s">
        <v>1300</v>
      </c>
      <c r="C16" s="888">
        <v>6</v>
      </c>
      <c r="D16" s="890">
        <v>2.2999999999999998</v>
      </c>
      <c r="E16" s="890">
        <v>2.2999999999999998</v>
      </c>
      <c r="F16" s="890">
        <f>0.5*0.3</f>
        <v>0.15</v>
      </c>
      <c r="G16" s="889">
        <f>F16*E16*D16*C16</f>
        <v>4.7609999999999992</v>
      </c>
      <c r="H16" s="904"/>
    </row>
    <row r="17" spans="1:8">
      <c r="A17" s="901"/>
      <c r="B17" s="891" t="s">
        <v>1241</v>
      </c>
      <c r="C17" s="860">
        <v>1</v>
      </c>
      <c r="D17" s="863">
        <v>62</v>
      </c>
      <c r="E17" s="889">
        <v>0.7</v>
      </c>
      <c r="F17" s="890">
        <f>0.5*0.3</f>
        <v>0.15</v>
      </c>
      <c r="G17" s="889">
        <f>F17*E17*D17*C17</f>
        <v>6.51</v>
      </c>
      <c r="H17" s="904"/>
    </row>
    <row r="18" spans="1:8">
      <c r="A18" s="901"/>
      <c r="B18" s="1007"/>
      <c r="C18" s="888"/>
      <c r="D18" s="890"/>
      <c r="E18" s="890"/>
      <c r="F18" s="890"/>
      <c r="G18" s="889"/>
      <c r="H18" s="904"/>
    </row>
    <row r="19" spans="1:8">
      <c r="A19" s="901"/>
      <c r="B19" s="1011" t="s">
        <v>1291</v>
      </c>
      <c r="C19" s="888">
        <v>2</v>
      </c>
      <c r="D19" s="907">
        <v>3.3</v>
      </c>
      <c r="E19" s="907">
        <v>3.6</v>
      </c>
      <c r="F19" s="889">
        <v>0.3</v>
      </c>
      <c r="G19" s="889">
        <f t="shared" ref="G19:G25" si="0">F19*E19*D19*C19</f>
        <v>7.1280000000000001</v>
      </c>
      <c r="H19" s="904"/>
    </row>
    <row r="20" spans="1:8">
      <c r="A20" s="901"/>
      <c r="B20" s="1011"/>
      <c r="C20" s="888">
        <v>2</v>
      </c>
      <c r="D20" s="907">
        <v>3.15</v>
      </c>
      <c r="E20" s="907">
        <v>3.6</v>
      </c>
      <c r="F20" s="889">
        <v>0.3</v>
      </c>
      <c r="G20" s="889">
        <f t="shared" si="0"/>
        <v>6.8040000000000003</v>
      </c>
      <c r="H20" s="904"/>
    </row>
    <row r="21" spans="1:8">
      <c r="A21" s="901"/>
      <c r="B21" s="1011"/>
      <c r="C21" s="888">
        <v>2</v>
      </c>
      <c r="D21" s="907">
        <v>3.42</v>
      </c>
      <c r="E21" s="907">
        <v>3.6920000000000002</v>
      </c>
      <c r="F21" s="889">
        <v>0.3</v>
      </c>
      <c r="G21" s="889">
        <f t="shared" si="0"/>
        <v>7.5759839999999992</v>
      </c>
      <c r="H21" s="904"/>
    </row>
    <row r="22" spans="1:8">
      <c r="A22" s="901"/>
      <c r="B22" s="1011"/>
      <c r="C22" s="888">
        <v>2</v>
      </c>
      <c r="D22" s="907">
        <v>1.8</v>
      </c>
      <c r="E22" s="907">
        <v>2.02</v>
      </c>
      <c r="F22" s="889">
        <v>0.3</v>
      </c>
      <c r="G22" s="889">
        <f t="shared" si="0"/>
        <v>2.1816</v>
      </c>
      <c r="H22" s="904"/>
    </row>
    <row r="23" spans="1:8">
      <c r="A23" s="901"/>
      <c r="B23" s="1011"/>
      <c r="C23" s="888">
        <v>2</v>
      </c>
      <c r="D23" s="907">
        <v>2.5449999999999999</v>
      </c>
      <c r="E23" s="907">
        <v>1.1739999999999999</v>
      </c>
      <c r="F23" s="889">
        <v>0.3</v>
      </c>
      <c r="G23" s="889">
        <f t="shared" si="0"/>
        <v>1.7926979999999997</v>
      </c>
      <c r="H23" s="904"/>
    </row>
    <row r="24" spans="1:8">
      <c r="A24" s="901"/>
      <c r="B24" s="1011"/>
      <c r="C24" s="888">
        <v>2</v>
      </c>
      <c r="D24" s="907">
        <v>2.9750000000000001</v>
      </c>
      <c r="E24" s="907">
        <v>1.2</v>
      </c>
      <c r="F24" s="889">
        <v>0.3</v>
      </c>
      <c r="G24" s="889">
        <f t="shared" si="0"/>
        <v>2.1419999999999999</v>
      </c>
      <c r="H24" s="904"/>
    </row>
    <row r="25" spans="1:8">
      <c r="A25" s="901"/>
      <c r="B25" s="1011"/>
      <c r="C25" s="888">
        <v>2</v>
      </c>
      <c r="D25" s="907">
        <v>2.15</v>
      </c>
      <c r="E25" s="907">
        <v>1.5</v>
      </c>
      <c r="F25" s="889">
        <v>0.3</v>
      </c>
      <c r="G25" s="889">
        <f t="shared" si="0"/>
        <v>1.9349999999999998</v>
      </c>
      <c r="H25" s="904"/>
    </row>
    <row r="26" spans="1:8">
      <c r="A26" s="901"/>
      <c r="B26" s="905"/>
      <c r="C26" s="888"/>
      <c r="D26" s="907"/>
      <c r="E26" s="907"/>
      <c r="F26" s="889"/>
      <c r="G26" s="889">
        <f>SUM(G15:G25)</f>
        <v>59.082282000000006</v>
      </c>
      <c r="H26" s="904"/>
    </row>
    <row r="27" spans="1:8">
      <c r="A27" s="901"/>
      <c r="B27" s="905"/>
      <c r="C27" s="888"/>
      <c r="D27" s="907"/>
      <c r="E27" s="907"/>
      <c r="F27" s="889"/>
      <c r="G27" s="889">
        <f>G26*10%</f>
        <v>5.9082282000000008</v>
      </c>
      <c r="H27" s="904"/>
    </row>
    <row r="28" spans="1:8" ht="15">
      <c r="A28" s="161"/>
      <c r="B28" s="887"/>
      <c r="C28" s="899"/>
      <c r="D28" s="947"/>
      <c r="E28" s="947"/>
      <c r="F28" s="947"/>
      <c r="G28" s="894">
        <f>G27+G26</f>
        <v>64.990510200000003</v>
      </c>
      <c r="H28" s="926" t="s">
        <v>25</v>
      </c>
    </row>
    <row r="29" spans="1:8" ht="15">
      <c r="A29" s="161">
        <v>3</v>
      </c>
      <c r="B29" s="911" t="s">
        <v>601</v>
      </c>
      <c r="C29" s="899"/>
      <c r="D29" s="947"/>
      <c r="E29" s="947"/>
      <c r="F29" s="947"/>
      <c r="G29" s="908"/>
      <c r="H29" s="900"/>
    </row>
    <row r="30" spans="1:8">
      <c r="A30" s="161"/>
      <c r="B30" s="1007" t="s">
        <v>1299</v>
      </c>
      <c r="C30" s="888">
        <v>18</v>
      </c>
      <c r="D30" s="890">
        <v>2.6</v>
      </c>
      <c r="E30" s="890">
        <v>2.6</v>
      </c>
      <c r="F30" s="890">
        <f>0.5*0.3</f>
        <v>0.15</v>
      </c>
      <c r="G30" s="863">
        <f>F30*E30*D30*C30</f>
        <v>18.251999999999999</v>
      </c>
      <c r="H30" s="900"/>
    </row>
    <row r="31" spans="1:8">
      <c r="A31" s="161"/>
      <c r="B31" s="1007" t="s">
        <v>1300</v>
      </c>
      <c r="C31" s="888">
        <v>6</v>
      </c>
      <c r="D31" s="890">
        <v>2.2999999999999998</v>
      </c>
      <c r="E31" s="890">
        <v>2.2999999999999998</v>
      </c>
      <c r="F31" s="890">
        <f>0.5*0.3</f>
        <v>0.15</v>
      </c>
      <c r="G31" s="863">
        <f>F31*E31*D31*C31</f>
        <v>4.7609999999999992</v>
      </c>
      <c r="H31" s="900"/>
    </row>
    <row r="32" spans="1:8">
      <c r="A32" s="161"/>
      <c r="B32" s="891" t="s">
        <v>1241</v>
      </c>
      <c r="C32" s="860">
        <v>1</v>
      </c>
      <c r="D32" s="863">
        <v>62</v>
      </c>
      <c r="E32" s="889">
        <v>0.7</v>
      </c>
      <c r="F32" s="890">
        <f>0.5*0.3</f>
        <v>0.15</v>
      </c>
      <c r="G32" s="863">
        <f>F32*E32*D32*C32</f>
        <v>6.51</v>
      </c>
      <c r="H32" s="900"/>
    </row>
    <row r="33" spans="1:8">
      <c r="A33" s="161"/>
      <c r="B33" s="1011"/>
      <c r="C33" s="888">
        <v>2</v>
      </c>
      <c r="D33" s="907">
        <v>3.3</v>
      </c>
      <c r="E33" s="907">
        <v>3.6</v>
      </c>
      <c r="F33" s="889">
        <v>0.1</v>
      </c>
      <c r="G33" s="889">
        <f>F33*E33*D33*C33</f>
        <v>2.3760000000000003</v>
      </c>
      <c r="H33" s="900"/>
    </row>
    <row r="34" spans="1:8">
      <c r="A34" s="161"/>
      <c r="B34" s="1011"/>
      <c r="C34" s="888">
        <v>2</v>
      </c>
      <c r="D34" s="907">
        <v>3.15</v>
      </c>
      <c r="E34" s="907">
        <v>3.6</v>
      </c>
      <c r="F34" s="889">
        <v>0.1</v>
      </c>
      <c r="G34" s="889">
        <f t="shared" ref="G34:G39" si="1">F34*E34*D34*C34</f>
        <v>2.2680000000000002</v>
      </c>
      <c r="H34" s="900"/>
    </row>
    <row r="35" spans="1:8">
      <c r="A35" s="161"/>
      <c r="B35" s="1011"/>
      <c r="C35" s="888">
        <v>2</v>
      </c>
      <c r="D35" s="907">
        <v>3.42</v>
      </c>
      <c r="E35" s="907">
        <v>3.6920000000000002</v>
      </c>
      <c r="F35" s="889">
        <v>0.1</v>
      </c>
      <c r="G35" s="889">
        <f t="shared" si="1"/>
        <v>2.525328</v>
      </c>
      <c r="H35" s="900"/>
    </row>
    <row r="36" spans="1:8">
      <c r="A36" s="161"/>
      <c r="B36" s="1011"/>
      <c r="C36" s="888">
        <v>2</v>
      </c>
      <c r="D36" s="907">
        <v>1.8</v>
      </c>
      <c r="E36" s="907">
        <v>2.02</v>
      </c>
      <c r="F36" s="889">
        <v>0.1</v>
      </c>
      <c r="G36" s="889">
        <f t="shared" si="1"/>
        <v>0.72720000000000007</v>
      </c>
      <c r="H36" s="900"/>
    </row>
    <row r="37" spans="1:8">
      <c r="A37" s="161"/>
      <c r="B37" s="1011"/>
      <c r="C37" s="888">
        <v>2</v>
      </c>
      <c r="D37" s="907">
        <v>2.5449999999999999</v>
      </c>
      <c r="E37" s="907">
        <v>1.1739999999999999</v>
      </c>
      <c r="F37" s="889">
        <v>0.1</v>
      </c>
      <c r="G37" s="889">
        <f t="shared" si="1"/>
        <v>0.59756600000000004</v>
      </c>
      <c r="H37" s="900"/>
    </row>
    <row r="38" spans="1:8">
      <c r="A38" s="161"/>
      <c r="B38" s="1011"/>
      <c r="C38" s="888">
        <v>2</v>
      </c>
      <c r="D38" s="907">
        <v>2.9750000000000001</v>
      </c>
      <c r="E38" s="907">
        <v>1.2</v>
      </c>
      <c r="F38" s="889">
        <v>0.1</v>
      </c>
      <c r="G38" s="889">
        <f t="shared" si="1"/>
        <v>0.71399999999999997</v>
      </c>
      <c r="H38" s="900"/>
    </row>
    <row r="39" spans="1:8">
      <c r="A39" s="161"/>
      <c r="B39" s="1011"/>
      <c r="C39" s="888">
        <v>2</v>
      </c>
      <c r="D39" s="907">
        <v>2.15</v>
      </c>
      <c r="E39" s="907">
        <v>1.5</v>
      </c>
      <c r="F39" s="889">
        <v>0.1</v>
      </c>
      <c r="G39" s="889">
        <f t="shared" si="1"/>
        <v>0.64500000000000002</v>
      </c>
      <c r="H39" s="900"/>
    </row>
    <row r="40" spans="1:8">
      <c r="A40" s="161"/>
      <c r="B40" s="905"/>
      <c r="C40" s="888"/>
      <c r="D40" s="907"/>
      <c r="E40" s="907"/>
      <c r="F40" s="890"/>
      <c r="G40" s="889">
        <f>SUM(G30:G39)</f>
        <v>39.376094000000002</v>
      </c>
      <c r="H40" s="900"/>
    </row>
    <row r="41" spans="1:8">
      <c r="A41" s="161"/>
      <c r="B41" s="905"/>
      <c r="C41" s="888"/>
      <c r="D41" s="907"/>
      <c r="E41" s="907"/>
      <c r="F41" s="890"/>
      <c r="G41" s="889">
        <f>G40*10%</f>
        <v>3.9376094000000004</v>
      </c>
      <c r="H41" s="900"/>
    </row>
    <row r="42" spans="1:8" ht="15">
      <c r="A42" s="161"/>
      <c r="B42" s="911"/>
      <c r="C42" s="912"/>
      <c r="D42" s="890"/>
      <c r="E42" s="890"/>
      <c r="F42" s="890"/>
      <c r="G42" s="894">
        <f>G41+G40</f>
        <v>43.313703400000001</v>
      </c>
      <c r="H42" s="926" t="s">
        <v>25</v>
      </c>
    </row>
    <row r="43" spans="1:8" ht="15">
      <c r="A43" s="161">
        <v>4</v>
      </c>
      <c r="B43" s="913" t="s">
        <v>1159</v>
      </c>
      <c r="C43" s="899"/>
      <c r="D43" s="947"/>
      <c r="E43" s="947"/>
      <c r="F43" s="947"/>
      <c r="G43" s="898"/>
      <c r="H43" s="900"/>
    </row>
    <row r="44" spans="1:8" ht="15">
      <c r="A44" s="161" t="s">
        <v>424</v>
      </c>
      <c r="B44" s="914" t="s">
        <v>486</v>
      </c>
      <c r="C44" s="899"/>
      <c r="D44" s="947"/>
      <c r="E44" s="947"/>
      <c r="F44" s="947"/>
      <c r="G44" s="898"/>
      <c r="H44" s="900"/>
    </row>
    <row r="45" spans="1:8" ht="15">
      <c r="A45" s="161" t="s">
        <v>475</v>
      </c>
      <c r="B45" s="911" t="s">
        <v>1243</v>
      </c>
      <c r="C45" s="886"/>
      <c r="D45" s="1000"/>
      <c r="E45" s="1000"/>
      <c r="F45" s="1000"/>
      <c r="G45" s="898"/>
      <c r="H45" s="900"/>
    </row>
    <row r="46" spans="1:8" ht="15">
      <c r="A46" s="161"/>
      <c r="B46" s="887" t="s">
        <v>1299</v>
      </c>
      <c r="C46" s="888">
        <v>18</v>
      </c>
      <c r="D46" s="916">
        <v>2</v>
      </c>
      <c r="E46" s="916">
        <v>2</v>
      </c>
      <c r="F46" s="890">
        <v>0.3</v>
      </c>
      <c r="G46" s="863">
        <f>F46*E46*D46*C46</f>
        <v>21.599999999999998</v>
      </c>
      <c r="H46" s="900"/>
    </row>
    <row r="47" spans="1:8" ht="15">
      <c r="A47" s="161"/>
      <c r="B47" s="887" t="s">
        <v>1300</v>
      </c>
      <c r="C47" s="888">
        <v>6</v>
      </c>
      <c r="D47" s="916">
        <v>1.7</v>
      </c>
      <c r="E47" s="916">
        <v>1.7</v>
      </c>
      <c r="F47" s="890">
        <v>0.3</v>
      </c>
      <c r="G47" s="863">
        <f>F47*E47*D47*C47</f>
        <v>5.202</v>
      </c>
      <c r="H47" s="900"/>
    </row>
    <row r="48" spans="1:8" ht="15">
      <c r="A48" s="161"/>
      <c r="B48" s="887"/>
      <c r="C48" s="888"/>
      <c r="D48" s="916"/>
      <c r="E48" s="916"/>
      <c r="F48" s="890"/>
      <c r="G48" s="863">
        <f>SUM(G46:G47)</f>
        <v>26.802</v>
      </c>
      <c r="H48" s="900"/>
    </row>
    <row r="49" spans="1:8" ht="15">
      <c r="A49" s="161"/>
      <c r="B49" s="887"/>
      <c r="C49" s="888"/>
      <c r="D49" s="916"/>
      <c r="E49" s="916"/>
      <c r="F49" s="890"/>
      <c r="G49" s="889">
        <f>G48*10%</f>
        <v>2.6802000000000001</v>
      </c>
      <c r="H49" s="900"/>
    </row>
    <row r="50" spans="1:8" ht="15">
      <c r="A50" s="161"/>
      <c r="B50" s="911"/>
      <c r="C50" s="912"/>
      <c r="D50" s="890"/>
      <c r="E50" s="890"/>
      <c r="F50" s="890"/>
      <c r="G50" s="894">
        <f>G49+G48</f>
        <v>29.482199999999999</v>
      </c>
      <c r="H50" s="926" t="s">
        <v>25</v>
      </c>
    </row>
    <row r="51" spans="1:8" ht="15">
      <c r="A51" s="161"/>
      <c r="B51" s="919" t="s">
        <v>1244</v>
      </c>
      <c r="C51" s="849"/>
      <c r="D51" s="890"/>
      <c r="E51" s="890"/>
      <c r="F51" s="890"/>
      <c r="G51" s="863"/>
      <c r="H51" s="900"/>
    </row>
    <row r="52" spans="1:8" ht="15">
      <c r="A52" s="161"/>
      <c r="B52" s="1012" t="s">
        <v>608</v>
      </c>
      <c r="C52" s="888">
        <v>24</v>
      </c>
      <c r="D52" s="916">
        <f>0.25+0.3</f>
        <v>0.55000000000000004</v>
      </c>
      <c r="E52" s="916">
        <v>0.7</v>
      </c>
      <c r="F52" s="916">
        <v>0.4</v>
      </c>
      <c r="G52" s="1013">
        <f>F52*E52*D52*C52</f>
        <v>3.6959999999999997</v>
      </c>
      <c r="H52" s="900"/>
    </row>
    <row r="53" spans="1:8" ht="15">
      <c r="A53" s="161"/>
      <c r="B53" s="1012"/>
      <c r="C53" s="888"/>
      <c r="D53" s="916"/>
      <c r="E53" s="916"/>
      <c r="F53" s="916"/>
      <c r="G53" s="1013">
        <f>SUM(G52:G52)</f>
        <v>3.6959999999999997</v>
      </c>
      <c r="H53" s="900"/>
    </row>
    <row r="54" spans="1:8" ht="15">
      <c r="A54" s="161"/>
      <c r="B54" s="1012"/>
      <c r="C54" s="888"/>
      <c r="D54" s="916"/>
      <c r="E54" s="916"/>
      <c r="F54" s="916"/>
      <c r="G54" s="889">
        <f>G53*10%</f>
        <v>0.36959999999999998</v>
      </c>
      <c r="H54" s="900"/>
    </row>
    <row r="55" spans="1:8" ht="15">
      <c r="A55" s="161"/>
      <c r="B55" s="887"/>
      <c r="C55" s="899"/>
      <c r="D55" s="947"/>
      <c r="E55" s="947"/>
      <c r="F55" s="947"/>
      <c r="G55" s="894">
        <f>G54+G53</f>
        <v>4.0655999999999999</v>
      </c>
      <c r="H55" s="926" t="s">
        <v>25</v>
      </c>
    </row>
    <row r="56" spans="1:8" ht="15">
      <c r="A56" s="161"/>
      <c r="B56" s="887"/>
      <c r="C56" s="899"/>
      <c r="D56" s="947"/>
      <c r="E56" s="947"/>
      <c r="F56" s="947"/>
      <c r="G56" s="973"/>
      <c r="H56" s="926"/>
    </row>
    <row r="57" spans="1:8" ht="15">
      <c r="A57" s="161" t="s">
        <v>476</v>
      </c>
      <c r="B57" s="919" t="s">
        <v>1221</v>
      </c>
      <c r="C57" s="919"/>
      <c r="D57" s="1014"/>
      <c r="E57" s="947"/>
      <c r="F57" s="947"/>
      <c r="G57" s="997"/>
      <c r="H57" s="926"/>
    </row>
    <row r="58" spans="1:8" ht="15">
      <c r="A58" s="161"/>
      <c r="B58" s="1012" t="s">
        <v>608</v>
      </c>
      <c r="C58" s="888">
        <v>24</v>
      </c>
      <c r="D58" s="916">
        <v>0.25</v>
      </c>
      <c r="E58" s="916">
        <v>0.4</v>
      </c>
      <c r="F58" s="916">
        <v>0.75</v>
      </c>
      <c r="G58" s="863">
        <f>F58*E58*D58*C58</f>
        <v>1.8000000000000003</v>
      </c>
      <c r="H58" s="886"/>
    </row>
    <row r="59" spans="1:8" ht="15">
      <c r="A59" s="161"/>
      <c r="B59" s="1012"/>
      <c r="C59" s="888"/>
      <c r="D59" s="907"/>
      <c r="E59" s="907"/>
      <c r="F59" s="890"/>
      <c r="G59" s="863">
        <f>SUM(G58:G58)</f>
        <v>1.8000000000000003</v>
      </c>
      <c r="H59" s="886"/>
    </row>
    <row r="60" spans="1:8" ht="15">
      <c r="A60" s="161"/>
      <c r="B60" s="1012"/>
      <c r="C60" s="888"/>
      <c r="D60" s="907"/>
      <c r="E60" s="907"/>
      <c r="F60" s="890"/>
      <c r="G60" s="889">
        <f>G59*10%</f>
        <v>0.18000000000000005</v>
      </c>
      <c r="H60" s="886"/>
    </row>
    <row r="61" spans="1:8">
      <c r="A61" s="161"/>
      <c r="B61" s="855"/>
      <c r="C61" s="898"/>
      <c r="D61" s="946"/>
      <c r="E61" s="946"/>
      <c r="F61" s="946"/>
      <c r="G61" s="894">
        <f>G60+G59</f>
        <v>1.9800000000000004</v>
      </c>
      <c r="H61" s="926" t="s">
        <v>25</v>
      </c>
    </row>
    <row r="62" spans="1:8" ht="15">
      <c r="A62" s="161" t="s">
        <v>477</v>
      </c>
      <c r="B62" s="911" t="s">
        <v>624</v>
      </c>
      <c r="C62" s="899"/>
      <c r="D62" s="947"/>
      <c r="E62" s="947"/>
      <c r="F62" s="947"/>
      <c r="G62" s="997"/>
      <c r="H62" s="926"/>
    </row>
    <row r="63" spans="1:8" ht="15">
      <c r="A63" s="161"/>
      <c r="B63" s="911"/>
      <c r="C63" s="899">
        <v>4</v>
      </c>
      <c r="D63" s="947">
        <v>13.82</v>
      </c>
      <c r="E63" s="947">
        <v>0.25</v>
      </c>
      <c r="F63" s="947">
        <v>0.3</v>
      </c>
      <c r="G63" s="863">
        <f>F63*E63*D63*C63</f>
        <v>4.1459999999999999</v>
      </c>
      <c r="H63" s="926"/>
    </row>
    <row r="64" spans="1:8" ht="15">
      <c r="A64" s="161"/>
      <c r="B64" s="911"/>
      <c r="C64" s="899">
        <v>4</v>
      </c>
      <c r="D64" s="947">
        <v>8.6549999999999994</v>
      </c>
      <c r="E64" s="947">
        <v>0.25</v>
      </c>
      <c r="F64" s="947">
        <v>0.3</v>
      </c>
      <c r="G64" s="863">
        <f>F64*E64*D64*C64</f>
        <v>2.5964999999999998</v>
      </c>
      <c r="H64" s="926"/>
    </row>
    <row r="65" spans="1:8" ht="15">
      <c r="A65" s="161"/>
      <c r="B65" s="911"/>
      <c r="C65" s="899">
        <v>1</v>
      </c>
      <c r="D65" s="947">
        <v>3.65</v>
      </c>
      <c r="E65" s="947">
        <v>0.25</v>
      </c>
      <c r="F65" s="947">
        <v>0.3</v>
      </c>
      <c r="G65" s="863">
        <f>F65*E65*D65*C65</f>
        <v>0.27374999999999999</v>
      </c>
      <c r="H65" s="926"/>
    </row>
    <row r="66" spans="1:8" ht="15">
      <c r="A66" s="161"/>
      <c r="B66" s="911"/>
      <c r="C66" s="899"/>
      <c r="D66" s="935"/>
      <c r="E66" s="907"/>
      <c r="F66" s="907"/>
      <c r="G66" s="1015">
        <f>SUM(G63:G65)</f>
        <v>7.0162499999999994</v>
      </c>
      <c r="H66" s="926"/>
    </row>
    <row r="67" spans="1:8" ht="15">
      <c r="A67" s="161"/>
      <c r="B67" s="911"/>
      <c r="C67" s="899"/>
      <c r="D67" s="935"/>
      <c r="E67" s="907"/>
      <c r="F67" s="907"/>
      <c r="G67" s="889">
        <f>G66*10%</f>
        <v>0.70162499999999994</v>
      </c>
      <c r="H67" s="926"/>
    </row>
    <row r="68" spans="1:8" ht="15">
      <c r="A68" s="161"/>
      <c r="B68" s="887"/>
      <c r="C68" s="899"/>
      <c r="D68" s="947"/>
      <c r="E68" s="947"/>
      <c r="F68" s="947"/>
      <c r="G68" s="894">
        <f>G67+G66</f>
        <v>7.7178749999999994</v>
      </c>
      <c r="H68" s="926" t="s">
        <v>25</v>
      </c>
    </row>
    <row r="69" spans="1:8" ht="15">
      <c r="A69" s="161" t="s">
        <v>425</v>
      </c>
      <c r="B69" s="914" t="s">
        <v>489</v>
      </c>
      <c r="C69" s="899"/>
      <c r="D69" s="947"/>
      <c r="E69" s="947"/>
      <c r="F69" s="947"/>
      <c r="G69" s="929"/>
      <c r="H69" s="926"/>
    </row>
    <row r="70" spans="1:8" ht="15">
      <c r="A70" s="161" t="s">
        <v>475</v>
      </c>
      <c r="B70" s="930" t="s">
        <v>622</v>
      </c>
      <c r="C70" s="930"/>
      <c r="D70" s="1016"/>
      <c r="E70" s="947"/>
      <c r="F70" s="947"/>
      <c r="G70" s="908"/>
      <c r="H70" s="900"/>
    </row>
    <row r="71" spans="1:8" ht="15">
      <c r="A71" s="161"/>
      <c r="B71" s="930" t="s">
        <v>1051</v>
      </c>
      <c r="C71" s="930"/>
      <c r="D71" s="1016"/>
      <c r="E71" s="947"/>
      <c r="F71" s="947"/>
      <c r="G71" s="908"/>
      <c r="H71" s="900"/>
    </row>
    <row r="72" spans="1:8" ht="15">
      <c r="A72" s="161"/>
      <c r="B72" s="940" t="s">
        <v>608</v>
      </c>
      <c r="C72" s="888">
        <v>24</v>
      </c>
      <c r="D72" s="907">
        <v>0.25</v>
      </c>
      <c r="E72" s="907">
        <v>0.4</v>
      </c>
      <c r="F72" s="935">
        <v>2.6</v>
      </c>
      <c r="G72" s="889">
        <f>F72*E72*D72*C72</f>
        <v>6.24</v>
      </c>
      <c r="H72" s="892"/>
    </row>
    <row r="73" spans="1:8" ht="15">
      <c r="A73" s="161"/>
      <c r="B73" s="940"/>
      <c r="C73" s="888"/>
      <c r="D73" s="907"/>
      <c r="E73" s="907"/>
      <c r="F73" s="935"/>
      <c r="G73" s="889">
        <f>SUM(G72:G72)</f>
        <v>6.24</v>
      </c>
      <c r="H73" s="892"/>
    </row>
    <row r="74" spans="1:8" ht="15">
      <c r="A74" s="161"/>
      <c r="B74" s="940"/>
      <c r="C74" s="888"/>
      <c r="D74" s="907"/>
      <c r="E74" s="907"/>
      <c r="F74" s="935"/>
      <c r="G74" s="889">
        <f>G73*10%</f>
        <v>0.62400000000000011</v>
      </c>
      <c r="H74" s="892"/>
    </row>
    <row r="75" spans="1:8" ht="15">
      <c r="A75" s="161"/>
      <c r="B75" s="887"/>
      <c r="C75" s="899"/>
      <c r="D75" s="947"/>
      <c r="E75" s="947"/>
      <c r="F75" s="947"/>
      <c r="G75" s="894">
        <f>G74+G73</f>
        <v>6.8640000000000008</v>
      </c>
      <c r="H75" s="926" t="s">
        <v>25</v>
      </c>
    </row>
    <row r="76" spans="1:8" ht="15">
      <c r="A76" s="161"/>
      <c r="B76" s="911" t="s">
        <v>1214</v>
      </c>
      <c r="C76" s="886"/>
      <c r="D76" s="1000"/>
      <c r="E76" s="947"/>
      <c r="F76" s="1000"/>
      <c r="G76" s="898"/>
      <c r="H76" s="900"/>
    </row>
    <row r="77" spans="1:8">
      <c r="A77" s="161"/>
      <c r="B77" s="940" t="s">
        <v>608</v>
      </c>
      <c r="C77" s="888">
        <v>24</v>
      </c>
      <c r="D77" s="907">
        <v>0.25</v>
      </c>
      <c r="E77" s="907">
        <v>0.4</v>
      </c>
      <c r="F77" s="935">
        <v>2.6</v>
      </c>
      <c r="G77" s="889">
        <f>F77*E77*D77*C77</f>
        <v>6.24</v>
      </c>
      <c r="H77" s="900"/>
    </row>
    <row r="78" spans="1:8">
      <c r="A78" s="161"/>
      <c r="B78" s="940"/>
      <c r="C78" s="888"/>
      <c r="D78" s="907"/>
      <c r="E78" s="907"/>
      <c r="F78" s="935"/>
      <c r="G78" s="889">
        <f>SUM(G77:G77)</f>
        <v>6.24</v>
      </c>
      <c r="H78" s="900"/>
    </row>
    <row r="79" spans="1:8">
      <c r="A79" s="161"/>
      <c r="B79" s="940"/>
      <c r="C79" s="888"/>
      <c r="D79" s="907"/>
      <c r="E79" s="907"/>
      <c r="F79" s="935"/>
      <c r="G79" s="889">
        <f>G78*10%</f>
        <v>0.62400000000000011</v>
      </c>
      <c r="H79" s="900"/>
    </row>
    <row r="80" spans="1:8">
      <c r="A80" s="161"/>
      <c r="B80" s="886"/>
      <c r="C80" s="899"/>
      <c r="D80" s="947"/>
      <c r="E80" s="947"/>
      <c r="F80" s="947"/>
      <c r="G80" s="894">
        <f>G79+G78</f>
        <v>6.8640000000000008</v>
      </c>
      <c r="H80" s="926" t="s">
        <v>25</v>
      </c>
    </row>
    <row r="81" spans="1:8" ht="15">
      <c r="A81" s="161"/>
      <c r="B81" s="911" t="s">
        <v>1161</v>
      </c>
      <c r="C81" s="899"/>
      <c r="D81" s="947"/>
      <c r="E81" s="947"/>
      <c r="F81" s="947"/>
      <c r="G81" s="997"/>
      <c r="H81" s="926"/>
    </row>
    <row r="82" spans="1:8" ht="15">
      <c r="A82" s="161"/>
      <c r="B82" s="855" t="s">
        <v>608</v>
      </c>
      <c r="C82" s="899">
        <v>4</v>
      </c>
      <c r="D82" s="946">
        <v>0.25</v>
      </c>
      <c r="E82" s="947">
        <v>0.4</v>
      </c>
      <c r="F82" s="946">
        <v>2.1</v>
      </c>
      <c r="G82" s="928">
        <f>F82*E82*D82*C82</f>
        <v>0.84000000000000008</v>
      </c>
      <c r="H82" s="926"/>
    </row>
    <row r="83" spans="1:8" ht="15">
      <c r="A83" s="161"/>
      <c r="B83" s="911"/>
      <c r="C83" s="899"/>
      <c r="D83" s="947"/>
      <c r="E83" s="947"/>
      <c r="F83" s="947"/>
      <c r="G83" s="928">
        <f>SUM(G82:G82)</f>
        <v>0.84000000000000008</v>
      </c>
      <c r="H83" s="926"/>
    </row>
    <row r="84" spans="1:8" ht="15">
      <c r="A84" s="161"/>
      <c r="B84" s="911"/>
      <c r="C84" s="899"/>
      <c r="D84" s="947"/>
      <c r="E84" s="947"/>
      <c r="F84" s="947"/>
      <c r="G84" s="889">
        <f>G83*10%</f>
        <v>8.4000000000000019E-2</v>
      </c>
      <c r="H84" s="926"/>
    </row>
    <row r="85" spans="1:8">
      <c r="A85" s="161"/>
      <c r="B85" s="886"/>
      <c r="C85" s="898"/>
      <c r="D85" s="886"/>
      <c r="E85" s="946"/>
      <c r="F85" s="886"/>
      <c r="G85" s="894">
        <f>G84+G83</f>
        <v>0.92400000000000015</v>
      </c>
      <c r="H85" s="926" t="s">
        <v>25</v>
      </c>
    </row>
    <row r="86" spans="1:8" ht="15">
      <c r="A86" s="161" t="s">
        <v>476</v>
      </c>
      <c r="B86" s="911" t="s">
        <v>1222</v>
      </c>
      <c r="C86" s="899"/>
      <c r="D86" s="947"/>
      <c r="E86" s="947"/>
      <c r="F86" s="947"/>
      <c r="G86" s="997"/>
      <c r="H86" s="926"/>
    </row>
    <row r="87" spans="1:8" ht="15">
      <c r="A87" s="161"/>
      <c r="B87" s="911" t="s">
        <v>1051</v>
      </c>
      <c r="C87" s="899"/>
      <c r="D87" s="947"/>
      <c r="E87" s="947"/>
      <c r="F87" s="947"/>
      <c r="G87" s="997"/>
      <c r="H87" s="926"/>
    </row>
    <row r="88" spans="1:8">
      <c r="A88" s="161"/>
      <c r="B88" s="855" t="s">
        <v>481</v>
      </c>
      <c r="C88" s="898">
        <v>20</v>
      </c>
      <c r="D88" s="1295">
        <f>0.5*(0.25+0.15)</f>
        <v>0.2</v>
      </c>
      <c r="E88" s="1296"/>
      <c r="F88" s="947">
        <v>1.2749999999999999</v>
      </c>
      <c r="G88" s="927">
        <f>F88*C88*0.5*0.25*0.15</f>
        <v>0.47812499999999997</v>
      </c>
      <c r="H88" s="926"/>
    </row>
    <row r="89" spans="1:8">
      <c r="A89" s="161"/>
      <c r="B89" s="855" t="s">
        <v>474</v>
      </c>
      <c r="C89" s="899">
        <v>2</v>
      </c>
      <c r="D89" s="947">
        <f>2.25+0.3</f>
        <v>2.5499999999999998</v>
      </c>
      <c r="E89" s="947">
        <f>F88</f>
        <v>1.2749999999999999</v>
      </c>
      <c r="F89" s="947">
        <f>0.5*0.3</f>
        <v>0.15</v>
      </c>
      <c r="G89" s="927">
        <f>F89*E89*D89*C89</f>
        <v>0.97537499999999977</v>
      </c>
      <c r="H89" s="926"/>
    </row>
    <row r="90" spans="1:8">
      <c r="A90" s="161"/>
      <c r="B90" s="855" t="s">
        <v>483</v>
      </c>
      <c r="C90" s="898">
        <v>1</v>
      </c>
      <c r="D90" s="946">
        <v>2.5499999999999998</v>
      </c>
      <c r="E90" s="946">
        <v>1.18</v>
      </c>
      <c r="F90" s="946">
        <v>0.15</v>
      </c>
      <c r="G90" s="927">
        <f>F90*E90*D90*C90</f>
        <v>0.45134999999999992</v>
      </c>
      <c r="H90" s="926"/>
    </row>
    <row r="91" spans="1:8">
      <c r="A91" s="161"/>
      <c r="B91" s="855"/>
      <c r="C91" s="898"/>
      <c r="D91" s="946"/>
      <c r="E91" s="946"/>
      <c r="F91" s="946"/>
      <c r="G91" s="927">
        <f>SUM(G88:G90)</f>
        <v>1.9048499999999997</v>
      </c>
      <c r="H91" s="926"/>
    </row>
    <row r="92" spans="1:8">
      <c r="A92" s="161"/>
      <c r="B92" s="855"/>
      <c r="C92" s="898"/>
      <c r="D92" s="946"/>
      <c r="E92" s="946"/>
      <c r="F92" s="946"/>
      <c r="G92" s="889">
        <f>G91*10%</f>
        <v>0.19048499999999999</v>
      </c>
      <c r="H92" s="926"/>
    </row>
    <row r="93" spans="1:8" ht="15">
      <c r="A93" s="161"/>
      <c r="B93" s="887"/>
      <c r="C93" s="899"/>
      <c r="D93" s="947"/>
      <c r="E93" s="947"/>
      <c r="F93" s="947"/>
      <c r="G93" s="894">
        <f>G92+G91</f>
        <v>2.0953349999999995</v>
      </c>
      <c r="H93" s="926" t="s">
        <v>25</v>
      </c>
    </row>
    <row r="94" spans="1:8" ht="15">
      <c r="A94" s="161"/>
      <c r="B94" s="911" t="s">
        <v>1214</v>
      </c>
      <c r="C94" s="899"/>
      <c r="D94" s="947"/>
      <c r="E94" s="947"/>
      <c r="F94" s="947"/>
      <c r="G94" s="1010">
        <f>G91</f>
        <v>1.9048499999999997</v>
      </c>
      <c r="H94" s="926"/>
    </row>
    <row r="95" spans="1:8">
      <c r="A95" s="161"/>
      <c r="B95" s="886"/>
      <c r="C95" s="899"/>
      <c r="D95" s="947"/>
      <c r="E95" s="947"/>
      <c r="F95" s="947"/>
      <c r="G95" s="889">
        <f>G94*10%</f>
        <v>0.19048499999999999</v>
      </c>
      <c r="H95" s="926"/>
    </row>
    <row r="96" spans="1:8" ht="15">
      <c r="A96" s="161"/>
      <c r="B96" s="911"/>
      <c r="C96" s="899"/>
      <c r="D96" s="947"/>
      <c r="E96" s="947"/>
      <c r="F96" s="947"/>
      <c r="G96" s="894">
        <f>G95+G94</f>
        <v>2.0953349999999995</v>
      </c>
      <c r="H96" s="926" t="s">
        <v>25</v>
      </c>
    </row>
    <row r="97" spans="1:8" ht="15">
      <c r="A97" s="161" t="s">
        <v>477</v>
      </c>
      <c r="B97" s="911" t="s">
        <v>1160</v>
      </c>
      <c r="C97" s="899"/>
      <c r="D97" s="947"/>
      <c r="E97" s="947"/>
      <c r="F97" s="947"/>
      <c r="G97" s="929"/>
      <c r="H97" s="926"/>
    </row>
    <row r="98" spans="1:8" ht="15">
      <c r="A98" s="161"/>
      <c r="B98" s="911" t="s">
        <v>1051</v>
      </c>
      <c r="C98" s="899">
        <v>3</v>
      </c>
      <c r="D98" s="947">
        <v>13.82</v>
      </c>
      <c r="E98" s="947">
        <v>0.25</v>
      </c>
      <c r="F98" s="947">
        <v>0.27500000000000002</v>
      </c>
      <c r="G98" s="1017">
        <f t="shared" ref="G98:G103" si="2">F98*E98*D98*C98</f>
        <v>2.8503750000000005</v>
      </c>
      <c r="H98" s="926"/>
    </row>
    <row r="99" spans="1:8" ht="15">
      <c r="A99" s="161"/>
      <c r="B99" s="911"/>
      <c r="C99" s="899">
        <v>2</v>
      </c>
      <c r="D99" s="947">
        <v>1.8</v>
      </c>
      <c r="E99" s="947">
        <v>0.25</v>
      </c>
      <c r="F99" s="947">
        <v>0.27500000000000002</v>
      </c>
      <c r="G99" s="1017">
        <f t="shared" si="2"/>
        <v>0.24750000000000003</v>
      </c>
      <c r="H99" s="926"/>
    </row>
    <row r="100" spans="1:8" ht="15">
      <c r="A100" s="161"/>
      <c r="B100" s="911"/>
      <c r="C100" s="899">
        <v>5</v>
      </c>
      <c r="D100" s="947">
        <v>8.6549999999999994</v>
      </c>
      <c r="E100" s="947">
        <v>0.25</v>
      </c>
      <c r="F100" s="947">
        <v>0.27500000000000002</v>
      </c>
      <c r="G100" s="1017">
        <f t="shared" si="2"/>
        <v>2.9751562499999999</v>
      </c>
      <c r="H100" s="926"/>
    </row>
    <row r="101" spans="1:8" ht="15">
      <c r="A101" s="161"/>
      <c r="B101" s="911"/>
      <c r="C101" s="899">
        <v>1</v>
      </c>
      <c r="D101" s="947">
        <v>4.3600000000000003</v>
      </c>
      <c r="E101" s="947">
        <v>0.25</v>
      </c>
      <c r="F101" s="947">
        <v>0.27500000000000002</v>
      </c>
      <c r="G101" s="1017">
        <f t="shared" si="2"/>
        <v>0.29975000000000007</v>
      </c>
      <c r="H101" s="926"/>
    </row>
    <row r="102" spans="1:8" ht="15">
      <c r="A102" s="161"/>
      <c r="B102" s="911"/>
      <c r="C102" s="899">
        <v>2</v>
      </c>
      <c r="D102" s="947">
        <v>2.61</v>
      </c>
      <c r="E102" s="947">
        <v>0.25</v>
      </c>
      <c r="F102" s="947">
        <v>0.27500000000000002</v>
      </c>
      <c r="G102" s="1017">
        <f t="shared" si="2"/>
        <v>0.358875</v>
      </c>
      <c r="H102" s="926"/>
    </row>
    <row r="103" spans="1:8" ht="15">
      <c r="A103" s="161"/>
      <c r="B103" s="911"/>
      <c r="C103" s="899">
        <v>4</v>
      </c>
      <c r="D103" s="947">
        <v>1.615</v>
      </c>
      <c r="E103" s="947">
        <v>0.25</v>
      </c>
      <c r="F103" s="947">
        <v>0.27500000000000002</v>
      </c>
      <c r="G103" s="1017">
        <f t="shared" si="2"/>
        <v>0.44412500000000005</v>
      </c>
      <c r="H103" s="926"/>
    </row>
    <row r="104" spans="1:8" ht="15">
      <c r="A104" s="161"/>
      <c r="B104" s="911"/>
      <c r="C104" s="899"/>
      <c r="D104" s="935"/>
      <c r="E104" s="907"/>
      <c r="F104" s="916"/>
      <c r="G104" s="1018">
        <f>SUM(G98:G103)</f>
        <v>7.1757812500000009</v>
      </c>
      <c r="H104" s="900"/>
    </row>
    <row r="105" spans="1:8" ht="15">
      <c r="A105" s="161"/>
      <c r="B105" s="911"/>
      <c r="C105" s="899"/>
      <c r="D105" s="935"/>
      <c r="E105" s="907"/>
      <c r="F105" s="916"/>
      <c r="G105" s="890">
        <f>G104*10%</f>
        <v>0.71757812500000018</v>
      </c>
      <c r="H105" s="900"/>
    </row>
    <row r="106" spans="1:8" ht="15">
      <c r="A106" s="161"/>
      <c r="B106" s="911"/>
      <c r="C106" s="898"/>
      <c r="D106" s="946"/>
      <c r="E106" s="946"/>
      <c r="F106" s="946"/>
      <c r="G106" s="944">
        <f>G105+G104</f>
        <v>7.8933593750000011</v>
      </c>
      <c r="H106" s="934" t="s">
        <v>918</v>
      </c>
    </row>
    <row r="107" spans="1:8" ht="15">
      <c r="A107" s="161"/>
      <c r="B107" s="911" t="s">
        <v>1214</v>
      </c>
      <c r="C107" s="899">
        <v>3</v>
      </c>
      <c r="D107" s="947">
        <v>13.82</v>
      </c>
      <c r="E107" s="947">
        <v>0.25</v>
      </c>
      <c r="F107" s="947">
        <v>0.27500000000000002</v>
      </c>
      <c r="G107" s="1017">
        <f t="shared" ref="G107:G112" si="3">F107*E107*D107*C107</f>
        <v>2.8503750000000005</v>
      </c>
      <c r="H107" s="900"/>
    </row>
    <row r="108" spans="1:8" ht="15">
      <c r="A108" s="161"/>
      <c r="B108" s="886"/>
      <c r="C108" s="899">
        <v>2</v>
      </c>
      <c r="D108" s="947">
        <v>1.8</v>
      </c>
      <c r="E108" s="947">
        <v>0.25</v>
      </c>
      <c r="F108" s="947">
        <v>0.27500000000000002</v>
      </c>
      <c r="G108" s="1017">
        <f t="shared" si="3"/>
        <v>0.24750000000000003</v>
      </c>
      <c r="H108" s="900"/>
    </row>
    <row r="109" spans="1:8" ht="15">
      <c r="A109" s="161"/>
      <c r="B109" s="886"/>
      <c r="C109" s="899">
        <v>5</v>
      </c>
      <c r="D109" s="947">
        <v>8.6549999999999994</v>
      </c>
      <c r="E109" s="947">
        <v>0.25</v>
      </c>
      <c r="F109" s="947">
        <v>0.27500000000000002</v>
      </c>
      <c r="G109" s="1017">
        <f t="shared" si="3"/>
        <v>2.9751562499999999</v>
      </c>
      <c r="H109" s="900"/>
    </row>
    <row r="110" spans="1:8" ht="15">
      <c r="A110" s="161"/>
      <c r="B110" s="886"/>
      <c r="C110" s="899">
        <v>1</v>
      </c>
      <c r="D110" s="947">
        <v>4.3600000000000003</v>
      </c>
      <c r="E110" s="947">
        <v>0.25</v>
      </c>
      <c r="F110" s="947">
        <v>0.27500000000000002</v>
      </c>
      <c r="G110" s="1017">
        <f t="shared" si="3"/>
        <v>0.29975000000000007</v>
      </c>
      <c r="H110" s="900"/>
    </row>
    <row r="111" spans="1:8" ht="15">
      <c r="A111" s="161"/>
      <c r="B111" s="886"/>
      <c r="C111" s="899">
        <v>2</v>
      </c>
      <c r="D111" s="947">
        <v>2.61</v>
      </c>
      <c r="E111" s="947">
        <v>0.25</v>
      </c>
      <c r="F111" s="947">
        <v>0.27500000000000002</v>
      </c>
      <c r="G111" s="1017">
        <f t="shared" si="3"/>
        <v>0.358875</v>
      </c>
      <c r="H111" s="900"/>
    </row>
    <row r="112" spans="1:8" ht="15">
      <c r="A112" s="161"/>
      <c r="B112" s="886"/>
      <c r="C112" s="899">
        <v>4</v>
      </c>
      <c r="D112" s="947">
        <v>1.615</v>
      </c>
      <c r="E112" s="947">
        <v>0.25</v>
      </c>
      <c r="F112" s="947">
        <v>0.27500000000000002</v>
      </c>
      <c r="G112" s="1017">
        <f t="shared" si="3"/>
        <v>0.44412500000000005</v>
      </c>
      <c r="H112" s="900"/>
    </row>
    <row r="113" spans="1:8">
      <c r="A113" s="161"/>
      <c r="B113" s="886"/>
      <c r="C113" s="899"/>
      <c r="D113" s="935"/>
      <c r="E113" s="907"/>
      <c r="F113" s="916"/>
      <c r="G113" s="1018">
        <f>SUM(G107:G112)</f>
        <v>7.1757812500000009</v>
      </c>
      <c r="H113" s="900"/>
    </row>
    <row r="114" spans="1:8">
      <c r="A114" s="161"/>
      <c r="B114" s="886"/>
      <c r="C114" s="899"/>
      <c r="D114" s="935"/>
      <c r="E114" s="907"/>
      <c r="F114" s="916"/>
      <c r="G114" s="890">
        <f>G113*10%</f>
        <v>0.71757812500000018</v>
      </c>
      <c r="H114" s="900"/>
    </row>
    <row r="115" spans="1:8" ht="15">
      <c r="A115" s="161"/>
      <c r="B115" s="886"/>
      <c r="C115" s="898"/>
      <c r="D115" s="946"/>
      <c r="E115" s="946"/>
      <c r="F115" s="946"/>
      <c r="G115" s="944">
        <f>G114+G113</f>
        <v>7.8933593750000011</v>
      </c>
      <c r="H115" s="934" t="s">
        <v>918</v>
      </c>
    </row>
    <row r="116" spans="1:8" ht="15">
      <c r="A116" s="161"/>
      <c r="B116" s="911" t="s">
        <v>1161</v>
      </c>
      <c r="C116" s="898">
        <v>3</v>
      </c>
      <c r="D116" s="946">
        <v>1.8049999999999999</v>
      </c>
      <c r="E116" s="946">
        <v>0.25</v>
      </c>
      <c r="F116" s="889">
        <v>0.27500000000000002</v>
      </c>
      <c r="G116" s="935">
        <f>F116*E116*D116*C116</f>
        <v>0.37228125000000001</v>
      </c>
      <c r="H116" s="926"/>
    </row>
    <row r="117" spans="1:8" ht="15">
      <c r="A117" s="161"/>
      <c r="B117" s="887"/>
      <c r="C117" s="898">
        <v>2</v>
      </c>
      <c r="D117" s="946">
        <v>4.3600000000000003</v>
      </c>
      <c r="E117" s="946">
        <v>0.25</v>
      </c>
      <c r="F117" s="889">
        <v>0.27500000000000002</v>
      </c>
      <c r="G117" s="935">
        <f>F117*E117*D117*C117</f>
        <v>0.59950000000000014</v>
      </c>
      <c r="H117" s="926"/>
    </row>
    <row r="118" spans="1:8" ht="15">
      <c r="A118" s="161"/>
      <c r="B118" s="887"/>
      <c r="C118" s="898"/>
      <c r="D118" s="946"/>
      <c r="E118" s="946"/>
      <c r="F118" s="889"/>
      <c r="G118" s="935">
        <f>SUM(G116:G117)</f>
        <v>0.97178125000000015</v>
      </c>
      <c r="H118" s="926"/>
    </row>
    <row r="119" spans="1:8" ht="15">
      <c r="A119" s="161"/>
      <c r="B119" s="887"/>
      <c r="C119" s="898"/>
      <c r="D119" s="946"/>
      <c r="E119" s="946"/>
      <c r="F119" s="889"/>
      <c r="G119" s="890">
        <f>G118*10%</f>
        <v>9.7178125000000018E-2</v>
      </c>
      <c r="H119" s="926"/>
    </row>
    <row r="120" spans="1:8" ht="15">
      <c r="A120" s="161"/>
      <c r="B120" s="887"/>
      <c r="C120" s="899"/>
      <c r="D120" s="946"/>
      <c r="E120" s="947"/>
      <c r="F120" s="947"/>
      <c r="G120" s="944">
        <f>G119+G118</f>
        <v>1.0689593750000002</v>
      </c>
      <c r="H120" s="934" t="s">
        <v>918</v>
      </c>
    </row>
    <row r="121" spans="1:8" ht="15">
      <c r="A121" s="161" t="s">
        <v>478</v>
      </c>
      <c r="B121" s="911" t="s">
        <v>626</v>
      </c>
      <c r="C121" s="899"/>
      <c r="D121" s="947"/>
      <c r="E121" s="947"/>
      <c r="F121" s="947"/>
      <c r="G121" s="929"/>
      <c r="H121" s="926"/>
    </row>
    <row r="122" spans="1:8" ht="15">
      <c r="A122" s="161"/>
      <c r="B122" s="911" t="s">
        <v>1051</v>
      </c>
      <c r="C122" s="899">
        <v>2</v>
      </c>
      <c r="D122" s="947">
        <v>3.76</v>
      </c>
      <c r="E122" s="947">
        <v>4.0599999999999996</v>
      </c>
      <c r="F122" s="947">
        <v>0.125</v>
      </c>
      <c r="G122" s="928">
        <f t="shared" ref="G122:G127" si="4">F122*E122*D122*C122</f>
        <v>3.8163999999999993</v>
      </c>
      <c r="H122" s="926"/>
    </row>
    <row r="123" spans="1:8" ht="15">
      <c r="A123" s="161"/>
      <c r="B123" s="911"/>
      <c r="C123" s="899">
        <v>2</v>
      </c>
      <c r="D123" s="947">
        <v>3.2650000000000001</v>
      </c>
      <c r="E123" s="947">
        <v>4.0599999999999996</v>
      </c>
      <c r="F123" s="947">
        <v>0.125</v>
      </c>
      <c r="G123" s="928">
        <f t="shared" si="4"/>
        <v>3.3139749999999997</v>
      </c>
      <c r="H123" s="926"/>
    </row>
    <row r="124" spans="1:8" ht="15">
      <c r="A124" s="161"/>
      <c r="B124" s="911"/>
      <c r="C124" s="899">
        <v>2</v>
      </c>
      <c r="D124" s="947">
        <v>3.76</v>
      </c>
      <c r="E124" s="947">
        <v>3.8210000000000002</v>
      </c>
      <c r="F124" s="947">
        <v>0.125</v>
      </c>
      <c r="G124" s="928">
        <f t="shared" si="4"/>
        <v>3.5917400000000002</v>
      </c>
      <c r="H124" s="926"/>
    </row>
    <row r="125" spans="1:8" ht="15">
      <c r="A125" s="161"/>
      <c r="B125" s="911"/>
      <c r="C125" s="899">
        <v>2</v>
      </c>
      <c r="D125" s="947">
        <v>2.0350000000000001</v>
      </c>
      <c r="E125" s="947">
        <v>2.5409999999999999</v>
      </c>
      <c r="F125" s="947">
        <v>0.125</v>
      </c>
      <c r="G125" s="928">
        <f t="shared" si="4"/>
        <v>1.29273375</v>
      </c>
      <c r="H125" s="926"/>
    </row>
    <row r="126" spans="1:8" ht="15">
      <c r="A126" s="161"/>
      <c r="B126" s="911"/>
      <c r="C126" s="899">
        <v>2</v>
      </c>
      <c r="D126" s="947">
        <v>3</v>
      </c>
      <c r="E126" s="947">
        <v>1.175</v>
      </c>
      <c r="F126" s="947">
        <v>0.125</v>
      </c>
      <c r="G126" s="928">
        <f t="shared" si="4"/>
        <v>0.88125000000000009</v>
      </c>
      <c r="H126" s="926"/>
    </row>
    <row r="127" spans="1:8" ht="15">
      <c r="A127" s="161"/>
      <c r="B127" s="911"/>
      <c r="C127" s="899">
        <v>2</v>
      </c>
      <c r="D127" s="947">
        <v>3.0350000000000001</v>
      </c>
      <c r="E127" s="947">
        <v>1.175</v>
      </c>
      <c r="F127" s="947">
        <v>0.125</v>
      </c>
      <c r="G127" s="928">
        <f t="shared" si="4"/>
        <v>0.89153125000000011</v>
      </c>
      <c r="H127" s="926"/>
    </row>
    <row r="128" spans="1:8" ht="15">
      <c r="A128" s="161"/>
      <c r="B128" s="911"/>
      <c r="C128" s="899">
        <v>2</v>
      </c>
      <c r="D128" s="947">
        <v>2.6</v>
      </c>
      <c r="E128" s="947">
        <v>1.6</v>
      </c>
      <c r="F128" s="947">
        <v>0.125</v>
      </c>
      <c r="G128" s="928">
        <v>2</v>
      </c>
      <c r="H128" s="926"/>
    </row>
    <row r="129" spans="1:8" ht="15">
      <c r="A129" s="161"/>
      <c r="B129" s="911"/>
      <c r="C129" s="899"/>
      <c r="D129" s="935"/>
      <c r="E129" s="935"/>
      <c r="F129" s="947"/>
      <c r="G129" s="927">
        <f>SUM(G122:G128)</f>
        <v>15.787629999999998</v>
      </c>
      <c r="H129" s="900"/>
    </row>
    <row r="130" spans="1:8" ht="15">
      <c r="A130" s="161"/>
      <c r="B130" s="911"/>
      <c r="C130" s="899"/>
      <c r="D130" s="935"/>
      <c r="E130" s="935"/>
      <c r="F130" s="947"/>
      <c r="G130" s="889">
        <f>G129*10%</f>
        <v>1.5787629999999999</v>
      </c>
      <c r="H130" s="900"/>
    </row>
    <row r="131" spans="1:8" ht="15">
      <c r="A131" s="161"/>
      <c r="B131" s="911"/>
      <c r="C131" s="898"/>
      <c r="D131" s="946"/>
      <c r="E131" s="889"/>
      <c r="F131" s="946"/>
      <c r="G131" s="894">
        <f>G130+G129</f>
        <v>17.366392999999999</v>
      </c>
      <c r="H131" s="934" t="s">
        <v>918</v>
      </c>
    </row>
    <row r="132" spans="1:8" ht="15">
      <c r="A132" s="161"/>
      <c r="B132" s="911" t="s">
        <v>1214</v>
      </c>
      <c r="C132" s="899">
        <v>2</v>
      </c>
      <c r="D132" s="947">
        <v>3.76</v>
      </c>
      <c r="E132" s="947">
        <v>4.0599999999999996</v>
      </c>
      <c r="F132" s="947">
        <v>0.125</v>
      </c>
      <c r="G132" s="928">
        <f t="shared" ref="G132:G137" si="5">F132*E132*D132*C132</f>
        <v>3.8163999999999993</v>
      </c>
      <c r="H132" s="934"/>
    </row>
    <row r="133" spans="1:8" ht="15">
      <c r="A133" s="161"/>
      <c r="B133" s="911"/>
      <c r="C133" s="899">
        <v>2</v>
      </c>
      <c r="D133" s="947">
        <v>3.2650000000000001</v>
      </c>
      <c r="E133" s="947">
        <v>4.0599999999999996</v>
      </c>
      <c r="F133" s="947">
        <v>0.125</v>
      </c>
      <c r="G133" s="928">
        <f t="shared" si="5"/>
        <v>3.3139749999999997</v>
      </c>
      <c r="H133" s="934"/>
    </row>
    <row r="134" spans="1:8" ht="15">
      <c r="A134" s="161"/>
      <c r="B134" s="911"/>
      <c r="C134" s="899">
        <v>2</v>
      </c>
      <c r="D134" s="947">
        <v>3.76</v>
      </c>
      <c r="E134" s="947">
        <v>3.8210000000000002</v>
      </c>
      <c r="F134" s="947">
        <v>0.125</v>
      </c>
      <c r="G134" s="928">
        <f t="shared" si="5"/>
        <v>3.5917400000000002</v>
      </c>
      <c r="H134" s="934"/>
    </row>
    <row r="135" spans="1:8" ht="15">
      <c r="A135" s="161"/>
      <c r="B135" s="911"/>
      <c r="C135" s="899">
        <v>2</v>
      </c>
      <c r="D135" s="947">
        <v>2.0350000000000001</v>
      </c>
      <c r="E135" s="947">
        <v>2.5409999999999999</v>
      </c>
      <c r="F135" s="947">
        <v>0.125</v>
      </c>
      <c r="G135" s="928">
        <f t="shared" si="5"/>
        <v>1.29273375</v>
      </c>
      <c r="H135" s="934"/>
    </row>
    <row r="136" spans="1:8" ht="15">
      <c r="A136" s="161"/>
      <c r="B136" s="911"/>
      <c r="C136" s="899">
        <v>2</v>
      </c>
      <c r="D136" s="947">
        <v>3</v>
      </c>
      <c r="E136" s="947">
        <v>1.175</v>
      </c>
      <c r="F136" s="947">
        <v>0.125</v>
      </c>
      <c r="G136" s="928">
        <f t="shared" si="5"/>
        <v>0.88125000000000009</v>
      </c>
      <c r="H136" s="934"/>
    </row>
    <row r="137" spans="1:8" ht="15">
      <c r="A137" s="161"/>
      <c r="B137" s="911"/>
      <c r="C137" s="899">
        <v>2</v>
      </c>
      <c r="D137" s="947">
        <v>3.0350000000000001</v>
      </c>
      <c r="E137" s="947">
        <v>1.175</v>
      </c>
      <c r="F137" s="947">
        <v>0.125</v>
      </c>
      <c r="G137" s="928">
        <f t="shared" si="5"/>
        <v>0.89153125000000011</v>
      </c>
      <c r="H137" s="934"/>
    </row>
    <row r="138" spans="1:8" ht="15">
      <c r="A138" s="161"/>
      <c r="B138" s="911"/>
      <c r="C138" s="899">
        <v>2</v>
      </c>
      <c r="D138" s="947">
        <v>2.6</v>
      </c>
      <c r="E138" s="947">
        <v>1.6</v>
      </c>
      <c r="F138" s="947">
        <v>0.125</v>
      </c>
      <c r="G138" s="928">
        <v>2</v>
      </c>
      <c r="H138" s="934"/>
    </row>
    <row r="139" spans="1:8" ht="15">
      <c r="A139" s="161"/>
      <c r="B139" s="911"/>
      <c r="C139" s="899"/>
      <c r="D139" s="935"/>
      <c r="E139" s="935"/>
      <c r="F139" s="947"/>
      <c r="G139" s="927">
        <f>SUM(G132:G138)</f>
        <v>15.787629999999998</v>
      </c>
      <c r="H139" s="900"/>
    </row>
    <row r="140" spans="1:8" ht="15">
      <c r="A140" s="161"/>
      <c r="B140" s="911"/>
      <c r="C140" s="899"/>
      <c r="D140" s="935"/>
      <c r="E140" s="935"/>
      <c r="F140" s="947"/>
      <c r="G140" s="889">
        <f>G139*10%</f>
        <v>1.5787629999999999</v>
      </c>
      <c r="H140" s="900"/>
    </row>
    <row r="141" spans="1:8" ht="15">
      <c r="A141" s="161"/>
      <c r="B141" s="911"/>
      <c r="C141" s="898"/>
      <c r="D141" s="946"/>
      <c r="E141" s="889"/>
      <c r="F141" s="946"/>
      <c r="G141" s="894">
        <f>G140+G139</f>
        <v>17.366392999999999</v>
      </c>
      <c r="H141" s="934" t="s">
        <v>918</v>
      </c>
    </row>
    <row r="142" spans="1:8" ht="15">
      <c r="A142" s="161"/>
      <c r="B142" s="911" t="s">
        <v>1161</v>
      </c>
      <c r="C142" s="898">
        <v>1</v>
      </c>
      <c r="D142" s="946">
        <v>2.0350000000000001</v>
      </c>
      <c r="E142" s="946">
        <v>4.13</v>
      </c>
      <c r="F142" s="946">
        <v>0.125</v>
      </c>
      <c r="G142" s="1010">
        <f>F142*E142*D142*C142</f>
        <v>1.0505687500000001</v>
      </c>
      <c r="H142" s="934" t="s">
        <v>918</v>
      </c>
    </row>
    <row r="143" spans="1:8" ht="15">
      <c r="A143" s="161"/>
      <c r="B143" s="911"/>
      <c r="C143" s="898"/>
      <c r="D143" s="946"/>
      <c r="E143" s="889"/>
      <c r="F143" s="946"/>
      <c r="G143" s="889">
        <f>G142*10%</f>
        <v>0.10505687500000001</v>
      </c>
      <c r="H143" s="934"/>
    </row>
    <row r="144" spans="1:8" ht="15">
      <c r="A144" s="161"/>
      <c r="B144" s="911"/>
      <c r="C144" s="898"/>
      <c r="D144" s="946"/>
      <c r="E144" s="946"/>
      <c r="F144" s="946"/>
      <c r="G144" s="944">
        <f>G143+G142</f>
        <v>1.1556256250000001</v>
      </c>
      <c r="H144" s="934" t="s">
        <v>918</v>
      </c>
    </row>
    <row r="145" spans="1:8" ht="15">
      <c r="A145" s="161" t="s">
        <v>479</v>
      </c>
      <c r="B145" s="936" t="s">
        <v>1162</v>
      </c>
      <c r="C145" s="899"/>
      <c r="D145" s="947"/>
      <c r="E145" s="947"/>
      <c r="F145" s="947"/>
      <c r="G145" s="929"/>
      <c r="H145" s="926"/>
    </row>
    <row r="146" spans="1:8" ht="15">
      <c r="A146" s="161"/>
      <c r="B146" s="936" t="s">
        <v>1051</v>
      </c>
      <c r="C146" s="899"/>
      <c r="D146" s="947"/>
      <c r="E146" s="947"/>
      <c r="F146" s="947"/>
      <c r="G146" s="929"/>
      <c r="H146" s="926"/>
    </row>
    <row r="147" spans="1:8" ht="15">
      <c r="A147" s="161"/>
      <c r="B147" s="937" t="s">
        <v>1357</v>
      </c>
      <c r="C147" s="860">
        <v>2</v>
      </c>
      <c r="D147" s="863">
        <v>1.3</v>
      </c>
      <c r="E147" s="863">
        <v>0.125</v>
      </c>
      <c r="F147" s="889">
        <v>0.15</v>
      </c>
      <c r="G147" s="943">
        <f t="shared" ref="G147:G158" si="6">F147*E147*D147*C147</f>
        <v>4.8750000000000002E-2</v>
      </c>
      <c r="H147" s="926"/>
    </row>
    <row r="148" spans="1:8" ht="15">
      <c r="A148" s="161"/>
      <c r="B148" s="937" t="s">
        <v>1358</v>
      </c>
      <c r="C148" s="860">
        <v>4</v>
      </c>
      <c r="D148" s="863">
        <v>1.2</v>
      </c>
      <c r="E148" s="863">
        <v>0.125</v>
      </c>
      <c r="F148" s="889">
        <f t="shared" ref="F148:F154" si="7">0.5*0.3</f>
        <v>0.15</v>
      </c>
      <c r="G148" s="943">
        <f t="shared" si="6"/>
        <v>0.09</v>
      </c>
      <c r="H148" s="926"/>
    </row>
    <row r="149" spans="1:8" ht="15">
      <c r="A149" s="161"/>
      <c r="B149" s="937" t="s">
        <v>1359</v>
      </c>
      <c r="C149" s="860">
        <v>4</v>
      </c>
      <c r="D149" s="863">
        <v>0.75</v>
      </c>
      <c r="E149" s="863">
        <v>0.125</v>
      </c>
      <c r="F149" s="889">
        <f t="shared" si="7"/>
        <v>0.15</v>
      </c>
      <c r="G149" s="943">
        <f t="shared" si="6"/>
        <v>5.6249999999999994E-2</v>
      </c>
      <c r="H149" s="926"/>
    </row>
    <row r="150" spans="1:8" ht="15">
      <c r="A150" s="161"/>
      <c r="B150" s="937" t="s">
        <v>213</v>
      </c>
      <c r="C150" s="860">
        <v>4</v>
      </c>
      <c r="D150" s="863">
        <v>0.75</v>
      </c>
      <c r="E150" s="863">
        <v>0.25</v>
      </c>
      <c r="F150" s="889">
        <f t="shared" si="7"/>
        <v>0.15</v>
      </c>
      <c r="G150" s="943">
        <f t="shared" si="6"/>
        <v>0.11249999999999999</v>
      </c>
      <c r="H150" s="926"/>
    </row>
    <row r="151" spans="1:8">
      <c r="A151" s="161"/>
      <c r="B151" s="886" t="s">
        <v>1224</v>
      </c>
      <c r="C151" s="860">
        <v>2</v>
      </c>
      <c r="D151" s="863">
        <v>2.085</v>
      </c>
      <c r="E151" s="863">
        <v>0.25</v>
      </c>
      <c r="F151" s="889">
        <f t="shared" si="7"/>
        <v>0.15</v>
      </c>
      <c r="G151" s="943">
        <f t="shared" si="6"/>
        <v>0.15637499999999999</v>
      </c>
      <c r="H151" s="926"/>
    </row>
    <row r="152" spans="1:8">
      <c r="A152" s="161"/>
      <c r="B152" s="886"/>
      <c r="C152" s="860">
        <v>2</v>
      </c>
      <c r="D152" s="863">
        <v>1.7849999999999999</v>
      </c>
      <c r="E152" s="863">
        <v>0.25</v>
      </c>
      <c r="F152" s="889">
        <v>0.15</v>
      </c>
      <c r="G152" s="943">
        <f t="shared" si="6"/>
        <v>0.13387499999999999</v>
      </c>
      <c r="H152" s="926"/>
    </row>
    <row r="153" spans="1:8">
      <c r="A153" s="161"/>
      <c r="B153" s="939" t="s">
        <v>1361</v>
      </c>
      <c r="C153" s="860">
        <v>4</v>
      </c>
      <c r="D153" s="863">
        <v>1.5</v>
      </c>
      <c r="E153" s="863">
        <v>0.25</v>
      </c>
      <c r="F153" s="889">
        <f t="shared" si="7"/>
        <v>0.15</v>
      </c>
      <c r="G153" s="935">
        <f t="shared" si="6"/>
        <v>0.22499999999999998</v>
      </c>
      <c r="H153" s="926"/>
    </row>
    <row r="154" spans="1:8">
      <c r="A154" s="161"/>
      <c r="B154" s="855" t="s">
        <v>1362</v>
      </c>
      <c r="C154" s="860">
        <v>4</v>
      </c>
      <c r="D154" s="863">
        <v>0.9</v>
      </c>
      <c r="E154" s="863">
        <v>0.25</v>
      </c>
      <c r="F154" s="889">
        <f t="shared" si="7"/>
        <v>0.15</v>
      </c>
      <c r="G154" s="935">
        <f t="shared" si="6"/>
        <v>0.13500000000000001</v>
      </c>
      <c r="H154" s="926"/>
    </row>
    <row r="155" spans="1:8">
      <c r="A155" s="161"/>
      <c r="B155" s="940" t="s">
        <v>1363</v>
      </c>
      <c r="C155" s="860">
        <v>2</v>
      </c>
      <c r="D155" s="863">
        <v>2.48</v>
      </c>
      <c r="E155" s="863">
        <v>0.125</v>
      </c>
      <c r="F155" s="910">
        <v>0.15</v>
      </c>
      <c r="G155" s="943">
        <f t="shared" si="6"/>
        <v>9.2999999999999999E-2</v>
      </c>
      <c r="H155" s="926"/>
    </row>
    <row r="156" spans="1:8">
      <c r="A156" s="161"/>
      <c r="B156" s="940"/>
      <c r="C156" s="860">
        <v>2</v>
      </c>
      <c r="D156" s="863">
        <v>2.3250000000000002</v>
      </c>
      <c r="E156" s="863">
        <v>0.125</v>
      </c>
      <c r="F156" s="910">
        <v>0.15</v>
      </c>
      <c r="G156" s="943">
        <f t="shared" si="6"/>
        <v>8.7187500000000001E-2</v>
      </c>
      <c r="H156" s="926"/>
    </row>
    <row r="157" spans="1:8">
      <c r="A157" s="161"/>
      <c r="B157" s="940"/>
      <c r="C157" s="860">
        <v>2</v>
      </c>
      <c r="D157" s="863">
        <v>0.6</v>
      </c>
      <c r="E157" s="863">
        <v>0.13</v>
      </c>
      <c r="F157" s="889">
        <v>0.15</v>
      </c>
      <c r="G157" s="943">
        <f t="shared" si="6"/>
        <v>2.3400000000000001E-2</v>
      </c>
      <c r="H157" s="926"/>
    </row>
    <row r="158" spans="1:8">
      <c r="A158" s="161"/>
      <c r="B158" s="940"/>
      <c r="C158" s="860">
        <v>2</v>
      </c>
      <c r="D158" s="863">
        <v>2.0649999999999999</v>
      </c>
      <c r="E158" s="863">
        <v>0.125</v>
      </c>
      <c r="F158" s="889">
        <v>0.15</v>
      </c>
      <c r="G158" s="943">
        <f t="shared" si="6"/>
        <v>7.7437499999999992E-2</v>
      </c>
      <c r="H158" s="926"/>
    </row>
    <row r="159" spans="1:8">
      <c r="A159" s="161"/>
      <c r="B159" s="849"/>
      <c r="C159" s="860"/>
      <c r="D159" s="863"/>
      <c r="E159" s="889"/>
      <c r="F159" s="889"/>
      <c r="G159" s="935">
        <f>SUM(G147:G158)</f>
        <v>1.2387750000000002</v>
      </c>
      <c r="H159" s="926"/>
    </row>
    <row r="160" spans="1:8">
      <c r="A160" s="161"/>
      <c r="B160" s="849"/>
      <c r="C160" s="860"/>
      <c r="D160" s="863"/>
      <c r="E160" s="889"/>
      <c r="F160" s="889"/>
      <c r="G160" s="890">
        <f>G159*10%</f>
        <v>0.12387750000000003</v>
      </c>
      <c r="H160" s="926"/>
    </row>
    <row r="161" spans="1:8">
      <c r="A161" s="161"/>
      <c r="B161" s="936"/>
      <c r="C161" s="899"/>
      <c r="D161" s="947"/>
      <c r="E161" s="947"/>
      <c r="F161" s="947"/>
      <c r="G161" s="944">
        <f>G160+G159</f>
        <v>1.3626525000000003</v>
      </c>
      <c r="H161" s="926" t="s">
        <v>25</v>
      </c>
    </row>
    <row r="162" spans="1:8" ht="15">
      <c r="A162" s="161"/>
      <c r="B162" s="936" t="s">
        <v>1214</v>
      </c>
      <c r="C162" s="899"/>
      <c r="D162" s="947"/>
      <c r="E162" s="947"/>
      <c r="F162" s="947"/>
      <c r="G162" s="1019"/>
      <c r="H162" s="926"/>
    </row>
    <row r="163" spans="1:8" ht="15">
      <c r="A163" s="161"/>
      <c r="B163" s="937" t="s">
        <v>1357</v>
      </c>
      <c r="C163" s="860">
        <v>2</v>
      </c>
      <c r="D163" s="863">
        <v>1.3</v>
      </c>
      <c r="E163" s="863">
        <v>0.125</v>
      </c>
      <c r="F163" s="889">
        <v>0.15</v>
      </c>
      <c r="G163" s="943">
        <f t="shared" ref="G163:G174" si="8">F163*E163*D163*C163</f>
        <v>4.8750000000000002E-2</v>
      </c>
      <c r="H163" s="926"/>
    </row>
    <row r="164" spans="1:8" ht="15">
      <c r="A164" s="161"/>
      <c r="B164" s="937" t="s">
        <v>1358</v>
      </c>
      <c r="C164" s="860">
        <v>4</v>
      </c>
      <c r="D164" s="863">
        <v>1.2</v>
      </c>
      <c r="E164" s="863">
        <v>0.125</v>
      </c>
      <c r="F164" s="889">
        <f t="shared" ref="F164:F170" si="9">0.5*0.3</f>
        <v>0.15</v>
      </c>
      <c r="G164" s="943">
        <f t="shared" si="8"/>
        <v>0.09</v>
      </c>
      <c r="H164" s="926"/>
    </row>
    <row r="165" spans="1:8" ht="15">
      <c r="A165" s="161"/>
      <c r="B165" s="937" t="s">
        <v>1359</v>
      </c>
      <c r="C165" s="860">
        <v>4</v>
      </c>
      <c r="D165" s="863">
        <v>0.75</v>
      </c>
      <c r="E165" s="863">
        <v>0.125</v>
      </c>
      <c r="F165" s="889">
        <f t="shared" si="9"/>
        <v>0.15</v>
      </c>
      <c r="G165" s="943">
        <f t="shared" si="8"/>
        <v>5.6249999999999994E-2</v>
      </c>
      <c r="H165" s="926"/>
    </row>
    <row r="166" spans="1:8" ht="15">
      <c r="A166" s="161"/>
      <c r="B166" s="937" t="s">
        <v>213</v>
      </c>
      <c r="C166" s="860">
        <v>4</v>
      </c>
      <c r="D166" s="863">
        <v>0.75</v>
      </c>
      <c r="E166" s="863">
        <v>0.25</v>
      </c>
      <c r="F166" s="889">
        <f t="shared" si="9"/>
        <v>0.15</v>
      </c>
      <c r="G166" s="943">
        <f t="shared" si="8"/>
        <v>0.11249999999999999</v>
      </c>
      <c r="H166" s="926"/>
    </row>
    <row r="167" spans="1:8">
      <c r="A167" s="161"/>
      <c r="B167" s="886" t="s">
        <v>1224</v>
      </c>
      <c r="C167" s="860">
        <v>2</v>
      </c>
      <c r="D167" s="863">
        <v>2.085</v>
      </c>
      <c r="E167" s="863">
        <v>0.25</v>
      </c>
      <c r="F167" s="889">
        <f t="shared" si="9"/>
        <v>0.15</v>
      </c>
      <c r="G167" s="943">
        <f t="shared" si="8"/>
        <v>0.15637499999999999</v>
      </c>
      <c r="H167" s="926"/>
    </row>
    <row r="168" spans="1:8">
      <c r="A168" s="161"/>
      <c r="B168" s="886"/>
      <c r="C168" s="860">
        <v>2</v>
      </c>
      <c r="D168" s="863">
        <v>1.7849999999999999</v>
      </c>
      <c r="E168" s="863">
        <v>0.25</v>
      </c>
      <c r="F168" s="889">
        <v>0.15</v>
      </c>
      <c r="G168" s="943">
        <f t="shared" si="8"/>
        <v>0.13387499999999999</v>
      </c>
      <c r="H168" s="926"/>
    </row>
    <row r="169" spans="1:8">
      <c r="A169" s="161"/>
      <c r="B169" s="939" t="s">
        <v>1361</v>
      </c>
      <c r="C169" s="860">
        <v>4</v>
      </c>
      <c r="D169" s="863">
        <v>1.5</v>
      </c>
      <c r="E169" s="863">
        <v>0.25</v>
      </c>
      <c r="F169" s="889">
        <f t="shared" si="9"/>
        <v>0.15</v>
      </c>
      <c r="G169" s="935">
        <f t="shared" si="8"/>
        <v>0.22499999999999998</v>
      </c>
      <c r="H169" s="926"/>
    </row>
    <row r="170" spans="1:8">
      <c r="A170" s="161"/>
      <c r="B170" s="855" t="s">
        <v>1362</v>
      </c>
      <c r="C170" s="860">
        <v>4</v>
      </c>
      <c r="D170" s="863">
        <v>0.9</v>
      </c>
      <c r="E170" s="863">
        <v>0.25</v>
      </c>
      <c r="F170" s="889">
        <f t="shared" si="9"/>
        <v>0.15</v>
      </c>
      <c r="G170" s="935">
        <f t="shared" si="8"/>
        <v>0.13500000000000001</v>
      </c>
      <c r="H170" s="926"/>
    </row>
    <row r="171" spans="1:8">
      <c r="A171" s="161"/>
      <c r="B171" s="940" t="s">
        <v>1363</v>
      </c>
      <c r="C171" s="860">
        <v>2</v>
      </c>
      <c r="D171" s="863">
        <v>2.48</v>
      </c>
      <c r="E171" s="863">
        <v>0.125</v>
      </c>
      <c r="F171" s="910">
        <v>0.15</v>
      </c>
      <c r="G171" s="943">
        <f t="shared" si="8"/>
        <v>9.2999999999999999E-2</v>
      </c>
      <c r="H171" s="926"/>
    </row>
    <row r="172" spans="1:8">
      <c r="A172" s="161"/>
      <c r="B172" s="940"/>
      <c r="C172" s="860">
        <v>2</v>
      </c>
      <c r="D172" s="863">
        <v>2.3250000000000002</v>
      </c>
      <c r="E172" s="863">
        <v>0.125</v>
      </c>
      <c r="F172" s="910">
        <v>0.15</v>
      </c>
      <c r="G172" s="943">
        <f t="shared" si="8"/>
        <v>8.7187500000000001E-2</v>
      </c>
      <c r="H172" s="926"/>
    </row>
    <row r="173" spans="1:8">
      <c r="A173" s="161"/>
      <c r="B173" s="940"/>
      <c r="C173" s="860">
        <v>2</v>
      </c>
      <c r="D173" s="863">
        <v>0.6</v>
      </c>
      <c r="E173" s="863">
        <v>0.13</v>
      </c>
      <c r="F173" s="889">
        <v>0.15</v>
      </c>
      <c r="G173" s="943">
        <f t="shared" si="8"/>
        <v>2.3400000000000001E-2</v>
      </c>
      <c r="H173" s="926"/>
    </row>
    <row r="174" spans="1:8">
      <c r="A174" s="161"/>
      <c r="B174" s="940"/>
      <c r="C174" s="860">
        <v>2</v>
      </c>
      <c r="D174" s="863">
        <v>2.0649999999999999</v>
      </c>
      <c r="E174" s="863">
        <v>0.125</v>
      </c>
      <c r="F174" s="889">
        <v>0.15</v>
      </c>
      <c r="G174" s="943">
        <f t="shared" si="8"/>
        <v>7.7437499999999992E-2</v>
      </c>
      <c r="H174" s="926"/>
    </row>
    <row r="175" spans="1:8">
      <c r="A175" s="161"/>
      <c r="B175" s="939"/>
      <c r="C175" s="860"/>
      <c r="D175" s="863"/>
      <c r="E175" s="889"/>
      <c r="F175" s="889"/>
      <c r="G175" s="935">
        <f>SUM(G163:G174)</f>
        <v>1.2387750000000002</v>
      </c>
      <c r="H175" s="926"/>
    </row>
    <row r="176" spans="1:8">
      <c r="A176" s="161"/>
      <c r="B176" s="939"/>
      <c r="C176" s="860"/>
      <c r="D176" s="863"/>
      <c r="E176" s="889"/>
      <c r="F176" s="889"/>
      <c r="G176" s="890">
        <f>G175*10%</f>
        <v>0.12387750000000003</v>
      </c>
      <c r="H176" s="926"/>
    </row>
    <row r="177" spans="1:8">
      <c r="A177" s="161"/>
      <c r="B177" s="936"/>
      <c r="C177" s="899"/>
      <c r="D177" s="947"/>
      <c r="E177" s="947"/>
      <c r="F177" s="947"/>
      <c r="G177" s="944">
        <f>G176+G175</f>
        <v>1.3626525000000003</v>
      </c>
      <c r="H177" s="926" t="s">
        <v>25</v>
      </c>
    </row>
    <row r="178" spans="1:8" ht="15">
      <c r="A178" s="161"/>
      <c r="B178" s="936" t="s">
        <v>1161</v>
      </c>
      <c r="C178" s="899">
        <v>1</v>
      </c>
      <c r="D178" s="947">
        <v>1.3</v>
      </c>
      <c r="E178" s="947">
        <v>0.25</v>
      </c>
      <c r="F178" s="947">
        <v>0.15</v>
      </c>
      <c r="G178" s="1020">
        <f>F178*E178*D178*C178</f>
        <v>4.8750000000000002E-2</v>
      </c>
      <c r="H178" s="926" t="s">
        <v>25</v>
      </c>
    </row>
    <row r="179" spans="1:8">
      <c r="A179" s="161"/>
      <c r="B179" s="936"/>
      <c r="C179" s="899"/>
      <c r="D179" s="947"/>
      <c r="E179" s="947"/>
      <c r="F179" s="947"/>
      <c r="G179" s="890">
        <f>G178*10%</f>
        <v>4.8750000000000009E-3</v>
      </c>
      <c r="H179" s="926"/>
    </row>
    <row r="180" spans="1:8">
      <c r="A180" s="161"/>
      <c r="B180" s="936"/>
      <c r="C180" s="899"/>
      <c r="D180" s="947"/>
      <c r="E180" s="947"/>
      <c r="F180" s="947"/>
      <c r="G180" s="944">
        <f>G179+G178</f>
        <v>5.3625000000000006E-2</v>
      </c>
      <c r="H180" s="926" t="s">
        <v>25</v>
      </c>
    </row>
    <row r="181" spans="1:8" ht="15">
      <c r="A181" s="161" t="s">
        <v>480</v>
      </c>
      <c r="B181" s="936" t="s">
        <v>1225</v>
      </c>
      <c r="C181" s="899"/>
      <c r="D181" s="947"/>
      <c r="E181" s="947"/>
      <c r="F181" s="947"/>
      <c r="G181" s="1019"/>
      <c r="H181" s="926"/>
    </row>
    <row r="182" spans="1:8" ht="15">
      <c r="A182" s="161"/>
      <c r="B182" s="936" t="s">
        <v>1051</v>
      </c>
      <c r="C182" s="886"/>
      <c r="D182" s="947"/>
      <c r="E182" s="947"/>
      <c r="F182" s="947"/>
      <c r="G182" s="1017"/>
      <c r="H182" s="926"/>
    </row>
    <row r="183" spans="1:8" ht="15">
      <c r="A183" s="161"/>
      <c r="B183" s="936" t="s">
        <v>1224</v>
      </c>
      <c r="C183" s="886">
        <v>2</v>
      </c>
      <c r="D183" s="947">
        <v>2.0150000000000001</v>
      </c>
      <c r="E183" s="947">
        <v>0.6</v>
      </c>
      <c r="F183" s="947"/>
      <c r="G183" s="1017">
        <f>E183*D183*C183</f>
        <v>2.4180000000000001</v>
      </c>
      <c r="H183" s="926"/>
    </row>
    <row r="184" spans="1:8" ht="15">
      <c r="A184" s="161"/>
      <c r="B184" s="936" t="s">
        <v>1361</v>
      </c>
      <c r="C184" s="886">
        <v>1</v>
      </c>
      <c r="D184" s="947">
        <v>1.6850000000000001</v>
      </c>
      <c r="E184" s="947">
        <v>0.6</v>
      </c>
      <c r="F184" s="947"/>
      <c r="G184" s="1017">
        <f>E184*D184*C184</f>
        <v>1.0109999999999999</v>
      </c>
      <c r="H184" s="926"/>
    </row>
    <row r="185" spans="1:8" ht="15">
      <c r="A185" s="161"/>
      <c r="B185" s="936" t="s">
        <v>648</v>
      </c>
      <c r="C185" s="886">
        <v>2</v>
      </c>
      <c r="D185" s="947">
        <v>1.05</v>
      </c>
      <c r="E185" s="947">
        <v>0.6</v>
      </c>
      <c r="F185" s="947"/>
      <c r="G185" s="1017">
        <f>E185*D185*C185</f>
        <v>1.26</v>
      </c>
      <c r="H185" s="926"/>
    </row>
    <row r="186" spans="1:8" ht="15">
      <c r="A186" s="161"/>
      <c r="B186" s="855"/>
      <c r="C186" s="860"/>
      <c r="D186" s="863"/>
      <c r="E186" s="863"/>
      <c r="F186" s="947"/>
      <c r="G186" s="1017">
        <f>SUM(G183:G185)</f>
        <v>4.6890000000000001</v>
      </c>
      <c r="H186" s="926"/>
    </row>
    <row r="187" spans="1:8">
      <c r="A187" s="161"/>
      <c r="B187" s="855"/>
      <c r="C187" s="860"/>
      <c r="D187" s="863"/>
      <c r="E187" s="863"/>
      <c r="F187" s="947"/>
      <c r="G187" s="890">
        <f>G186*10%</f>
        <v>0.46890000000000004</v>
      </c>
      <c r="H187" s="926"/>
    </row>
    <row r="188" spans="1:8" ht="15">
      <c r="A188" s="161"/>
      <c r="B188" s="887"/>
      <c r="C188" s="899"/>
      <c r="D188" s="947"/>
      <c r="E188" s="947"/>
      <c r="F188" s="947"/>
      <c r="G188" s="944">
        <f>G187+G186</f>
        <v>5.1578999999999997</v>
      </c>
      <c r="H188" s="926" t="s">
        <v>32</v>
      </c>
    </row>
    <row r="189" spans="1:8" ht="15">
      <c r="A189" s="161"/>
      <c r="B189" s="911" t="s">
        <v>1214</v>
      </c>
      <c r="C189" s="899"/>
      <c r="D189" s="947"/>
      <c r="E189" s="947"/>
      <c r="F189" s="947"/>
      <c r="G189" s="1017"/>
      <c r="H189" s="926"/>
    </row>
    <row r="190" spans="1:8" ht="15">
      <c r="A190" s="161"/>
      <c r="B190" s="936" t="s">
        <v>1224</v>
      </c>
      <c r="C190" s="886">
        <v>2</v>
      </c>
      <c r="D190" s="947">
        <v>2.0150000000000001</v>
      </c>
      <c r="E190" s="947">
        <v>0.6</v>
      </c>
      <c r="F190" s="947"/>
      <c r="G190" s="1017">
        <f>E190*D190*C190</f>
        <v>2.4180000000000001</v>
      </c>
      <c r="H190" s="926"/>
    </row>
    <row r="191" spans="1:8" ht="15">
      <c r="A191" s="161"/>
      <c r="B191" s="936" t="s">
        <v>1361</v>
      </c>
      <c r="C191" s="886">
        <v>1</v>
      </c>
      <c r="D191" s="947">
        <v>1.6850000000000001</v>
      </c>
      <c r="E191" s="947">
        <v>0.6</v>
      </c>
      <c r="F191" s="947"/>
      <c r="G191" s="1017">
        <f>E191*D191*C191</f>
        <v>1.0109999999999999</v>
      </c>
      <c r="H191" s="926"/>
    </row>
    <row r="192" spans="1:8" ht="15">
      <c r="A192" s="161"/>
      <c r="B192" s="936" t="s">
        <v>648</v>
      </c>
      <c r="C192" s="886">
        <v>2</v>
      </c>
      <c r="D192" s="947">
        <v>1.05</v>
      </c>
      <c r="E192" s="947">
        <v>0.6</v>
      </c>
      <c r="F192" s="947"/>
      <c r="G192" s="1017">
        <f>E192*D192*C192</f>
        <v>1.26</v>
      </c>
      <c r="H192" s="926"/>
    </row>
    <row r="193" spans="1:8" ht="15">
      <c r="A193" s="161"/>
      <c r="B193" s="939"/>
      <c r="C193" s="860"/>
      <c r="D193" s="863"/>
      <c r="E193" s="863"/>
      <c r="F193" s="947"/>
      <c r="G193" s="1017">
        <f>SUM(G190:G192)</f>
        <v>4.6890000000000001</v>
      </c>
      <c r="H193" s="926"/>
    </row>
    <row r="194" spans="1:8">
      <c r="A194" s="161"/>
      <c r="B194" s="939"/>
      <c r="C194" s="860"/>
      <c r="D194" s="863"/>
      <c r="E194" s="863"/>
      <c r="F194" s="947"/>
      <c r="G194" s="890">
        <f>G193*10%</f>
        <v>0.46890000000000004</v>
      </c>
      <c r="H194" s="926"/>
    </row>
    <row r="195" spans="1:8" ht="15">
      <c r="A195" s="161"/>
      <c r="B195" s="887"/>
      <c r="C195" s="899"/>
      <c r="D195" s="947"/>
      <c r="E195" s="947"/>
      <c r="F195" s="947"/>
      <c r="G195" s="944">
        <f>G194+G193</f>
        <v>5.1578999999999997</v>
      </c>
      <c r="H195" s="926" t="s">
        <v>32</v>
      </c>
    </row>
    <row r="196" spans="1:8" ht="15">
      <c r="A196" s="161">
        <v>5</v>
      </c>
      <c r="B196" s="945" t="s">
        <v>615</v>
      </c>
      <c r="C196" s="931" t="s">
        <v>616</v>
      </c>
      <c r="D196" s="1000"/>
      <c r="E196" s="947"/>
      <c r="F196" s="947"/>
      <c r="G196" s="929"/>
      <c r="H196" s="926"/>
    </row>
    <row r="197" spans="1:8" ht="15">
      <c r="A197" s="161"/>
      <c r="B197" s="855" t="s">
        <v>1051</v>
      </c>
      <c r="C197" s="931" t="s">
        <v>617</v>
      </c>
      <c r="D197" s="949" t="s">
        <v>618</v>
      </c>
      <c r="E197" s="949" t="s">
        <v>618</v>
      </c>
      <c r="F197" s="947"/>
      <c r="G197" s="929"/>
      <c r="H197" s="926"/>
    </row>
    <row r="198" spans="1:8" ht="15">
      <c r="A198" s="161"/>
      <c r="B198" s="950" t="s">
        <v>1243</v>
      </c>
      <c r="C198" s="935">
        <f>G50</f>
        <v>29.482199999999999</v>
      </c>
      <c r="D198" s="947">
        <v>100</v>
      </c>
      <c r="E198" s="947">
        <f>D198*C198</f>
        <v>2948.22</v>
      </c>
      <c r="F198" s="946"/>
      <c r="G198" s="929"/>
      <c r="H198" s="926"/>
    </row>
    <row r="199" spans="1:8" ht="15">
      <c r="A199" s="161"/>
      <c r="B199" s="950" t="s">
        <v>1244</v>
      </c>
      <c r="C199" s="935">
        <f>G55</f>
        <v>4.0655999999999999</v>
      </c>
      <c r="D199" s="947">
        <v>100</v>
      </c>
      <c r="E199" s="947">
        <f>D199*C199</f>
        <v>406.56</v>
      </c>
      <c r="F199" s="946"/>
      <c r="G199" s="929"/>
      <c r="H199" s="926"/>
    </row>
    <row r="200" spans="1:8" ht="15">
      <c r="A200" s="161"/>
      <c r="B200" s="950" t="s">
        <v>1221</v>
      </c>
      <c r="C200" s="935">
        <f>G61</f>
        <v>1.9800000000000004</v>
      </c>
      <c r="D200" s="947">
        <v>100</v>
      </c>
      <c r="E200" s="947">
        <f t="shared" ref="E200:E207" si="10">D200*C200</f>
        <v>198.00000000000006</v>
      </c>
      <c r="F200" s="946"/>
      <c r="G200" s="929"/>
      <c r="H200" s="926"/>
    </row>
    <row r="201" spans="1:8" ht="15">
      <c r="A201" s="161"/>
      <c r="B201" s="950" t="s">
        <v>622</v>
      </c>
      <c r="C201" s="935">
        <f>G75</f>
        <v>6.8640000000000008</v>
      </c>
      <c r="D201" s="947">
        <v>160</v>
      </c>
      <c r="E201" s="947">
        <f t="shared" si="10"/>
        <v>1098.2400000000002</v>
      </c>
      <c r="F201" s="946"/>
      <c r="G201" s="929"/>
      <c r="H201" s="926"/>
    </row>
    <row r="202" spans="1:8" ht="15">
      <c r="A202" s="161"/>
      <c r="B202" s="950" t="s">
        <v>624</v>
      </c>
      <c r="C202" s="935">
        <f>G68</f>
        <v>7.7178749999999994</v>
      </c>
      <c r="D202" s="947">
        <v>100</v>
      </c>
      <c r="E202" s="947">
        <f t="shared" si="10"/>
        <v>771.78749999999991</v>
      </c>
      <c r="F202" s="946"/>
      <c r="G202" s="929"/>
      <c r="H202" s="926"/>
    </row>
    <row r="203" spans="1:8" ht="15">
      <c r="A203" s="161"/>
      <c r="B203" s="1007" t="s">
        <v>625</v>
      </c>
      <c r="C203" s="935">
        <f>G106</f>
        <v>7.8933593750000011</v>
      </c>
      <c r="D203" s="947">
        <v>160</v>
      </c>
      <c r="E203" s="947">
        <f t="shared" si="10"/>
        <v>1262.9375000000002</v>
      </c>
      <c r="F203" s="946"/>
      <c r="G203" s="929"/>
      <c r="H203" s="926"/>
    </row>
    <row r="204" spans="1:8" ht="15">
      <c r="A204" s="161"/>
      <c r="B204" s="950" t="s">
        <v>626</v>
      </c>
      <c r="C204" s="935">
        <f>G131</f>
        <v>17.366392999999999</v>
      </c>
      <c r="D204" s="947">
        <v>90</v>
      </c>
      <c r="E204" s="947">
        <f t="shared" si="10"/>
        <v>1562.9753699999999</v>
      </c>
      <c r="F204" s="946"/>
      <c r="G204" s="929"/>
      <c r="H204" s="926"/>
    </row>
    <row r="205" spans="1:8" ht="15">
      <c r="A205" s="161"/>
      <c r="B205" s="1007" t="s">
        <v>1162</v>
      </c>
      <c r="C205" s="935">
        <f>G161</f>
        <v>1.3626525000000003</v>
      </c>
      <c r="D205" s="947">
        <v>100</v>
      </c>
      <c r="E205" s="947">
        <f t="shared" si="10"/>
        <v>136.26525000000004</v>
      </c>
      <c r="F205" s="946"/>
      <c r="G205" s="929"/>
      <c r="H205" s="926"/>
    </row>
    <row r="206" spans="1:8" ht="15">
      <c r="A206" s="161"/>
      <c r="B206" s="1007" t="s">
        <v>1225</v>
      </c>
      <c r="C206" s="935">
        <f>G188</f>
        <v>5.1578999999999997</v>
      </c>
      <c r="D206" s="947">
        <v>5</v>
      </c>
      <c r="E206" s="947">
        <f t="shared" si="10"/>
        <v>25.789499999999997</v>
      </c>
      <c r="F206" s="946"/>
      <c r="G206" s="929"/>
      <c r="H206" s="926"/>
    </row>
    <row r="207" spans="1:8" ht="15">
      <c r="A207" s="161"/>
      <c r="B207" s="950" t="s">
        <v>1364</v>
      </c>
      <c r="C207" s="935">
        <f>G93</f>
        <v>2.0953349999999995</v>
      </c>
      <c r="D207" s="947">
        <v>120</v>
      </c>
      <c r="E207" s="947">
        <f t="shared" si="10"/>
        <v>251.44019999999995</v>
      </c>
      <c r="F207" s="946"/>
      <c r="G207" s="929"/>
      <c r="H207" s="926"/>
    </row>
    <row r="208" spans="1:8" ht="15">
      <c r="A208" s="161"/>
      <c r="B208" s="886"/>
      <c r="C208" s="899"/>
      <c r="D208" s="947"/>
      <c r="E208" s="1021">
        <f>SUM(E198:E207)*1.2</f>
        <v>10394.658384</v>
      </c>
      <c r="F208" s="954" t="s">
        <v>537</v>
      </c>
      <c r="G208" s="908"/>
      <c r="H208" s="900"/>
    </row>
    <row r="209" spans="1:8" ht="15.75">
      <c r="A209" s="161"/>
      <c r="B209" s="886"/>
      <c r="C209" s="899"/>
      <c r="D209" s="947"/>
      <c r="E209" s="955">
        <f>E208/100</f>
        <v>103.94658384</v>
      </c>
      <c r="F209" s="956" t="s">
        <v>628</v>
      </c>
      <c r="G209" s="908"/>
      <c r="H209" s="900"/>
    </row>
    <row r="210" spans="1:8" ht="15">
      <c r="A210" s="161"/>
      <c r="B210" s="945"/>
      <c r="C210" s="931" t="s">
        <v>616</v>
      </c>
      <c r="D210" s="1000"/>
      <c r="E210" s="947"/>
      <c r="F210" s="947"/>
      <c r="G210" s="908"/>
      <c r="H210" s="900"/>
    </row>
    <row r="211" spans="1:8" ht="15">
      <c r="A211" s="161"/>
      <c r="B211" s="936" t="s">
        <v>1214</v>
      </c>
      <c r="C211" s="931" t="s">
        <v>617</v>
      </c>
      <c r="D211" s="949" t="s">
        <v>618</v>
      </c>
      <c r="E211" s="949" t="s">
        <v>618</v>
      </c>
      <c r="F211" s="947"/>
      <c r="G211" s="908"/>
      <c r="H211" s="900"/>
    </row>
    <row r="212" spans="1:8">
      <c r="A212" s="161"/>
      <c r="B212" s="950" t="s">
        <v>622</v>
      </c>
      <c r="C212" s="935">
        <f>G80</f>
        <v>6.8640000000000008</v>
      </c>
      <c r="D212" s="947">
        <v>180</v>
      </c>
      <c r="E212" s="947">
        <f t="shared" ref="E212:E217" si="11">D212*C212</f>
        <v>1235.5200000000002</v>
      </c>
      <c r="F212" s="946"/>
      <c r="G212" s="908"/>
      <c r="H212" s="900"/>
    </row>
    <row r="213" spans="1:8">
      <c r="A213" s="161"/>
      <c r="B213" s="1007" t="s">
        <v>625</v>
      </c>
      <c r="C213" s="935">
        <f>G115</f>
        <v>7.8933593750000011</v>
      </c>
      <c r="D213" s="947">
        <v>180</v>
      </c>
      <c r="E213" s="947">
        <f t="shared" si="11"/>
        <v>1420.8046875000002</v>
      </c>
      <c r="F213" s="946"/>
      <c r="G213" s="908"/>
      <c r="H213" s="900"/>
    </row>
    <row r="214" spans="1:8">
      <c r="A214" s="161"/>
      <c r="B214" s="950" t="s">
        <v>626</v>
      </c>
      <c r="C214" s="935">
        <f>G141</f>
        <v>17.366392999999999</v>
      </c>
      <c r="D214" s="947">
        <v>90</v>
      </c>
      <c r="E214" s="947">
        <f t="shared" si="11"/>
        <v>1562.9753699999999</v>
      </c>
      <c r="F214" s="946"/>
      <c r="G214" s="908"/>
      <c r="H214" s="900"/>
    </row>
    <row r="215" spans="1:8">
      <c r="A215" s="161"/>
      <c r="B215" s="1007" t="s">
        <v>1162</v>
      </c>
      <c r="C215" s="935">
        <f>G177</f>
        <v>1.3626525000000003</v>
      </c>
      <c r="D215" s="947">
        <v>125</v>
      </c>
      <c r="E215" s="947">
        <f t="shared" si="11"/>
        <v>170.33156250000005</v>
      </c>
      <c r="F215" s="946"/>
      <c r="G215" s="908"/>
      <c r="H215" s="900"/>
    </row>
    <row r="216" spans="1:8">
      <c r="A216" s="161"/>
      <c r="B216" s="1007" t="s">
        <v>1225</v>
      </c>
      <c r="C216" s="935">
        <f>G195</f>
        <v>5.1578999999999997</v>
      </c>
      <c r="D216" s="947">
        <v>5</v>
      </c>
      <c r="E216" s="947">
        <f t="shared" si="11"/>
        <v>25.789499999999997</v>
      </c>
      <c r="F216" s="946"/>
      <c r="G216" s="908"/>
      <c r="H216" s="900"/>
    </row>
    <row r="217" spans="1:8">
      <c r="A217" s="161"/>
      <c r="B217" s="950" t="s">
        <v>1364</v>
      </c>
      <c r="C217" s="935">
        <f>G96</f>
        <v>2.0953349999999995</v>
      </c>
      <c r="D217" s="947">
        <v>132</v>
      </c>
      <c r="E217" s="947">
        <f t="shared" si="11"/>
        <v>276.58421999999996</v>
      </c>
      <c r="F217" s="946"/>
      <c r="G217" s="908"/>
      <c r="H217" s="900"/>
    </row>
    <row r="218" spans="1:8" ht="15">
      <c r="A218" s="161"/>
      <c r="B218" s="886"/>
      <c r="C218" s="899"/>
      <c r="D218" s="947"/>
      <c r="E218" s="1021">
        <f>SUM(E212:E217)*1.2</f>
        <v>5630.4064080000007</v>
      </c>
      <c r="F218" s="954" t="s">
        <v>537</v>
      </c>
      <c r="G218" s="908"/>
      <c r="H218" s="900"/>
    </row>
    <row r="219" spans="1:8" ht="15.75">
      <c r="A219" s="161"/>
      <c r="B219" s="886"/>
      <c r="C219" s="899"/>
      <c r="D219" s="947"/>
      <c r="E219" s="955">
        <f>E218/100</f>
        <v>56.304064080000011</v>
      </c>
      <c r="F219" s="956" t="s">
        <v>628</v>
      </c>
      <c r="G219" s="908"/>
      <c r="H219" s="900"/>
    </row>
    <row r="220" spans="1:8" ht="15">
      <c r="A220" s="161"/>
      <c r="B220" s="945"/>
      <c r="C220" s="931" t="s">
        <v>616</v>
      </c>
      <c r="D220" s="1000"/>
      <c r="E220" s="947"/>
      <c r="F220" s="947"/>
      <c r="G220" s="908"/>
      <c r="H220" s="900"/>
    </row>
    <row r="221" spans="1:8" ht="15">
      <c r="A221" s="161"/>
      <c r="B221" s="936" t="s">
        <v>1161</v>
      </c>
      <c r="C221" s="931" t="s">
        <v>617</v>
      </c>
      <c r="D221" s="949" t="s">
        <v>618</v>
      </c>
      <c r="E221" s="949" t="s">
        <v>618</v>
      </c>
      <c r="F221" s="947"/>
      <c r="G221" s="908"/>
      <c r="H221" s="900"/>
    </row>
    <row r="222" spans="1:8">
      <c r="A222" s="161"/>
      <c r="B222" s="950" t="s">
        <v>622</v>
      </c>
      <c r="C222" s="935">
        <f>G85</f>
        <v>0.92400000000000015</v>
      </c>
      <c r="D222" s="947">
        <v>180</v>
      </c>
      <c r="E222" s="947">
        <f>D222*C222</f>
        <v>166.32000000000002</v>
      </c>
      <c r="F222" s="946"/>
      <c r="G222" s="908"/>
      <c r="H222" s="900"/>
    </row>
    <row r="223" spans="1:8">
      <c r="A223" s="161"/>
      <c r="B223" s="1007" t="s">
        <v>625</v>
      </c>
      <c r="C223" s="935">
        <f>G120</f>
        <v>1.0689593750000002</v>
      </c>
      <c r="D223" s="947">
        <v>180</v>
      </c>
      <c r="E223" s="947">
        <f>D223*C223</f>
        <v>192.41268750000003</v>
      </c>
      <c r="F223" s="946"/>
      <c r="G223" s="908"/>
      <c r="H223" s="900"/>
    </row>
    <row r="224" spans="1:8">
      <c r="A224" s="161"/>
      <c r="B224" s="950" t="s">
        <v>626</v>
      </c>
      <c r="C224" s="935">
        <f>G144</f>
        <v>1.1556256250000001</v>
      </c>
      <c r="D224" s="947">
        <v>90</v>
      </c>
      <c r="E224" s="947">
        <f>D224*C224</f>
        <v>104.00630625000001</v>
      </c>
      <c r="F224" s="946"/>
      <c r="G224" s="908"/>
      <c r="H224" s="900"/>
    </row>
    <row r="225" spans="1:8">
      <c r="A225" s="161"/>
      <c r="B225" s="1007" t="s">
        <v>1162</v>
      </c>
      <c r="C225" s="935">
        <f>G180</f>
        <v>5.3625000000000006E-2</v>
      </c>
      <c r="D225" s="947">
        <v>125</v>
      </c>
      <c r="E225" s="947">
        <f>D225*C225</f>
        <v>6.7031250000000009</v>
      </c>
      <c r="F225" s="946"/>
      <c r="G225" s="908"/>
      <c r="H225" s="900"/>
    </row>
    <row r="226" spans="1:8" ht="15">
      <c r="A226" s="161"/>
      <c r="B226" s="886"/>
      <c r="C226" s="899"/>
      <c r="D226" s="947"/>
      <c r="E226" s="1021">
        <f>SUM(E222:E225)*1.2</f>
        <v>563.33054250000009</v>
      </c>
      <c r="F226" s="954" t="s">
        <v>537</v>
      </c>
      <c r="G226" s="908"/>
      <c r="H226" s="900"/>
    </row>
    <row r="227" spans="1:8" ht="15.75">
      <c r="A227" s="161"/>
      <c r="B227" s="886"/>
      <c r="C227" s="899"/>
      <c r="D227" s="947"/>
      <c r="E227" s="955">
        <f>E226/100</f>
        <v>5.6333054250000005</v>
      </c>
      <c r="F227" s="956" t="s">
        <v>628</v>
      </c>
      <c r="G227" s="908"/>
      <c r="H227" s="900"/>
    </row>
    <row r="228" spans="1:8" ht="15">
      <c r="A228" s="161">
        <v>6</v>
      </c>
      <c r="B228" s="957" t="s">
        <v>1226</v>
      </c>
      <c r="C228" s="886"/>
      <c r="D228" s="1000"/>
      <c r="E228" s="1000"/>
      <c r="F228" s="1000"/>
      <c r="G228" s="886"/>
      <c r="H228" s="886"/>
    </row>
    <row r="229" spans="1:8">
      <c r="A229" s="161"/>
      <c r="B229" s="891" t="s">
        <v>1241</v>
      </c>
      <c r="C229" s="860">
        <v>1</v>
      </c>
      <c r="D229" s="863">
        <v>62</v>
      </c>
      <c r="E229" s="889">
        <v>0.55000000000000004</v>
      </c>
      <c r="F229" s="890">
        <v>0.3</v>
      </c>
      <c r="G229" s="890">
        <f>F229*E229*D229*C229</f>
        <v>10.23</v>
      </c>
      <c r="H229" s="886"/>
    </row>
    <row r="230" spans="1:8" ht="15">
      <c r="A230" s="161"/>
      <c r="B230" s="957"/>
      <c r="C230" s="860">
        <v>1</v>
      </c>
      <c r="D230" s="863">
        <v>62</v>
      </c>
      <c r="E230" s="889">
        <v>0.25</v>
      </c>
      <c r="F230" s="890">
        <v>0.3</v>
      </c>
      <c r="G230" s="890">
        <f>F230*E230*D230*C230</f>
        <v>4.6499999999999995</v>
      </c>
      <c r="H230" s="886"/>
    </row>
    <row r="231" spans="1:8" ht="15">
      <c r="A231" s="161"/>
      <c r="B231" s="930"/>
      <c r="C231" s="860"/>
      <c r="D231" s="889"/>
      <c r="E231" s="889"/>
      <c r="F231" s="889"/>
      <c r="G231" s="907">
        <f>SUM(G229:G230)</f>
        <v>14.879999999999999</v>
      </c>
      <c r="H231" s="886"/>
    </row>
    <row r="232" spans="1:8" ht="15">
      <c r="A232" s="161"/>
      <c r="B232" s="930"/>
      <c r="C232" s="860"/>
      <c r="D232" s="889"/>
      <c r="E232" s="889"/>
      <c r="F232" s="889"/>
      <c r="G232" s="890">
        <f>G231*10%</f>
        <v>1.488</v>
      </c>
      <c r="H232" s="886"/>
    </row>
    <row r="233" spans="1:8">
      <c r="A233" s="161"/>
      <c r="B233" s="886"/>
      <c r="C233" s="898"/>
      <c r="D233" s="946"/>
      <c r="E233" s="946"/>
      <c r="F233" s="946"/>
      <c r="G233" s="944">
        <f>G232+G231</f>
        <v>16.367999999999999</v>
      </c>
      <c r="H233" s="940" t="s">
        <v>25</v>
      </c>
    </row>
    <row r="234" spans="1:8" ht="15">
      <c r="A234" s="161">
        <v>7</v>
      </c>
      <c r="B234" s="957" t="s">
        <v>1163</v>
      </c>
      <c r="C234" s="899"/>
      <c r="D234" s="947"/>
      <c r="E234" s="947"/>
      <c r="F234" s="947"/>
      <c r="G234" s="908"/>
      <c r="H234" s="900"/>
    </row>
    <row r="235" spans="1:8" ht="15">
      <c r="A235" s="161"/>
      <c r="B235" s="959" t="s">
        <v>1051</v>
      </c>
      <c r="C235" s="899"/>
      <c r="D235" s="947"/>
      <c r="E235" s="947"/>
      <c r="F235" s="947"/>
      <c r="G235" s="908"/>
      <c r="H235" s="900"/>
    </row>
    <row r="236" spans="1:8">
      <c r="A236" s="936"/>
      <c r="B236" s="886" t="s">
        <v>1012</v>
      </c>
      <c r="C236" s="899"/>
      <c r="D236" s="947"/>
      <c r="E236" s="947"/>
      <c r="F236" s="947"/>
      <c r="G236" s="986"/>
      <c r="H236" s="900"/>
    </row>
    <row r="237" spans="1:8">
      <c r="A237" s="936"/>
      <c r="B237" s="939" t="s">
        <v>1448</v>
      </c>
      <c r="C237" s="899">
        <v>1</v>
      </c>
      <c r="D237" s="947">
        <v>2.0150000000000001</v>
      </c>
      <c r="E237" s="947">
        <v>0.25</v>
      </c>
      <c r="F237" s="947">
        <v>2.6</v>
      </c>
      <c r="G237" s="927">
        <f>F237*E237*C237</f>
        <v>0.65</v>
      </c>
      <c r="H237" s="900"/>
    </row>
    <row r="238" spans="1:8">
      <c r="A238" s="936"/>
      <c r="B238" s="886"/>
      <c r="C238" s="899">
        <v>1</v>
      </c>
      <c r="D238" s="947">
        <v>2.3650000000000002</v>
      </c>
      <c r="E238" s="947">
        <v>0.25</v>
      </c>
      <c r="F238" s="947">
        <v>2.6</v>
      </c>
      <c r="G238" s="927">
        <f t="shared" ref="G238:G261" si="12">F238*E238*C238</f>
        <v>0.65</v>
      </c>
      <c r="H238" s="900"/>
    </row>
    <row r="239" spans="1:8">
      <c r="A239" s="936"/>
      <c r="B239" s="886"/>
      <c r="C239" s="899">
        <v>1</v>
      </c>
      <c r="D239" s="947">
        <v>2.1139999999999999</v>
      </c>
      <c r="E239" s="947">
        <v>0.25</v>
      </c>
      <c r="F239" s="947">
        <v>2.6</v>
      </c>
      <c r="G239" s="927">
        <f t="shared" si="12"/>
        <v>0.65</v>
      </c>
      <c r="H239" s="900"/>
    </row>
    <row r="240" spans="1:8">
      <c r="A240" s="936"/>
      <c r="B240" s="886"/>
      <c r="C240" s="899">
        <v>1</v>
      </c>
      <c r="D240" s="947">
        <v>2.0150000000000001</v>
      </c>
      <c r="E240" s="947">
        <v>0.25</v>
      </c>
      <c r="F240" s="947">
        <v>2.6</v>
      </c>
      <c r="G240" s="927">
        <f t="shared" si="12"/>
        <v>0.65</v>
      </c>
      <c r="H240" s="900"/>
    </row>
    <row r="241" spans="1:8">
      <c r="A241" s="936"/>
      <c r="B241" s="886"/>
      <c r="C241" s="899">
        <v>2</v>
      </c>
      <c r="D241" s="947">
        <v>0.755</v>
      </c>
      <c r="E241" s="947">
        <v>0.25</v>
      </c>
      <c r="F241" s="947">
        <v>2.6</v>
      </c>
      <c r="G241" s="927">
        <f t="shared" si="12"/>
        <v>1.3</v>
      </c>
      <c r="H241" s="900"/>
    </row>
    <row r="242" spans="1:8">
      <c r="A242" s="936"/>
      <c r="B242" s="886"/>
      <c r="C242" s="899">
        <v>2</v>
      </c>
      <c r="D242" s="947">
        <v>3.35</v>
      </c>
      <c r="E242" s="947">
        <v>0.25</v>
      </c>
      <c r="F242" s="947">
        <v>2.6</v>
      </c>
      <c r="G242" s="927">
        <f t="shared" si="12"/>
        <v>1.3</v>
      </c>
      <c r="H242" s="900"/>
    </row>
    <row r="243" spans="1:8">
      <c r="A243" s="936"/>
      <c r="B243" s="886"/>
      <c r="C243" s="899">
        <v>1</v>
      </c>
      <c r="D243" s="947">
        <v>3.42</v>
      </c>
      <c r="E243" s="947">
        <v>0.25</v>
      </c>
      <c r="F243" s="947">
        <v>2.6</v>
      </c>
      <c r="G243" s="927">
        <f t="shared" si="12"/>
        <v>0.65</v>
      </c>
      <c r="H243" s="900"/>
    </row>
    <row r="244" spans="1:8">
      <c r="A244" s="936"/>
      <c r="B244" s="886"/>
      <c r="C244" s="899">
        <v>1</v>
      </c>
      <c r="D244" s="947">
        <v>1.43</v>
      </c>
      <c r="E244" s="947">
        <v>0.25</v>
      </c>
      <c r="F244" s="947">
        <v>2.6</v>
      </c>
      <c r="G244" s="927">
        <f t="shared" si="12"/>
        <v>0.65</v>
      </c>
      <c r="H244" s="900"/>
    </row>
    <row r="245" spans="1:8">
      <c r="A245" s="936"/>
      <c r="B245" s="886"/>
      <c r="C245" s="899">
        <v>1</v>
      </c>
      <c r="D245" s="947">
        <v>1.99</v>
      </c>
      <c r="E245" s="947">
        <v>0.25</v>
      </c>
      <c r="F245" s="947">
        <v>2.6</v>
      </c>
      <c r="G245" s="927">
        <f t="shared" si="12"/>
        <v>0.65</v>
      </c>
      <c r="H245" s="900"/>
    </row>
    <row r="246" spans="1:8">
      <c r="A246" s="936"/>
      <c r="B246" s="886"/>
      <c r="C246" s="899">
        <v>1</v>
      </c>
      <c r="D246" s="947">
        <v>1.43</v>
      </c>
      <c r="E246" s="947">
        <v>0.25</v>
      </c>
      <c r="F246" s="947">
        <v>2.6</v>
      </c>
      <c r="G246" s="927">
        <f t="shared" si="12"/>
        <v>0.65</v>
      </c>
      <c r="H246" s="900"/>
    </row>
    <row r="247" spans="1:8">
      <c r="A247" s="936"/>
      <c r="B247" s="886"/>
      <c r="C247" s="899">
        <v>1</v>
      </c>
      <c r="D247" s="947">
        <v>1.99</v>
      </c>
      <c r="E247" s="947">
        <v>0.25</v>
      </c>
      <c r="F247" s="947">
        <v>2.6</v>
      </c>
      <c r="G247" s="927">
        <f t="shared" si="12"/>
        <v>0.65</v>
      </c>
      <c r="H247" s="900"/>
    </row>
    <row r="248" spans="1:8">
      <c r="A248" s="936"/>
      <c r="B248" s="886"/>
      <c r="C248" s="899">
        <v>2</v>
      </c>
      <c r="D248" s="947">
        <v>1.6850000000000001</v>
      </c>
      <c r="E248" s="947">
        <v>0.25</v>
      </c>
      <c r="F248" s="947">
        <v>2.6</v>
      </c>
      <c r="G248" s="927">
        <f t="shared" si="12"/>
        <v>1.3</v>
      </c>
      <c r="H248" s="900"/>
    </row>
    <row r="249" spans="1:8">
      <c r="A249" s="936"/>
      <c r="B249" s="886"/>
      <c r="C249" s="899">
        <v>2</v>
      </c>
      <c r="D249" s="947">
        <v>2.15</v>
      </c>
      <c r="E249" s="947">
        <v>0.25</v>
      </c>
      <c r="F249" s="947">
        <v>2.6</v>
      </c>
      <c r="G249" s="927">
        <f t="shared" si="12"/>
        <v>1.3</v>
      </c>
      <c r="H249" s="900"/>
    </row>
    <row r="250" spans="1:8">
      <c r="A250" s="936"/>
      <c r="B250" s="886"/>
      <c r="C250" s="899">
        <v>2</v>
      </c>
      <c r="D250" s="947">
        <v>1.2</v>
      </c>
      <c r="E250" s="947">
        <v>0.25</v>
      </c>
      <c r="F250" s="947">
        <v>2.6</v>
      </c>
      <c r="G250" s="927">
        <f t="shared" si="12"/>
        <v>1.3</v>
      </c>
      <c r="H250" s="900"/>
    </row>
    <row r="251" spans="1:8">
      <c r="A251" s="936"/>
      <c r="B251" s="886"/>
      <c r="C251" s="899">
        <v>1</v>
      </c>
      <c r="D251" s="947">
        <v>3.61</v>
      </c>
      <c r="E251" s="947">
        <v>0.25</v>
      </c>
      <c r="F251" s="947">
        <v>2.6</v>
      </c>
      <c r="G251" s="927">
        <f t="shared" si="12"/>
        <v>0.65</v>
      </c>
      <c r="H251" s="900"/>
    </row>
    <row r="252" spans="1:8">
      <c r="A252" s="936"/>
      <c r="B252" s="886"/>
      <c r="C252" s="899">
        <v>2</v>
      </c>
      <c r="D252" s="947">
        <v>1.165</v>
      </c>
      <c r="E252" s="947">
        <v>0.25</v>
      </c>
      <c r="F252" s="947">
        <v>2.6</v>
      </c>
      <c r="G252" s="927">
        <f t="shared" si="12"/>
        <v>1.3</v>
      </c>
      <c r="H252" s="900"/>
    </row>
    <row r="253" spans="1:8">
      <c r="A253" s="936"/>
      <c r="B253" s="886"/>
      <c r="C253" s="899">
        <v>1</v>
      </c>
      <c r="D253" s="947">
        <v>4.8099999999999996</v>
      </c>
      <c r="E253" s="947">
        <v>0.25</v>
      </c>
      <c r="F253" s="947">
        <v>2.6</v>
      </c>
      <c r="G253" s="927">
        <f t="shared" si="12"/>
        <v>0.65</v>
      </c>
      <c r="H253" s="900"/>
    </row>
    <row r="254" spans="1:8">
      <c r="A254" s="936"/>
      <c r="B254" s="886"/>
      <c r="C254" s="899">
        <v>2</v>
      </c>
      <c r="D254" s="947">
        <v>1.395</v>
      </c>
      <c r="E254" s="947">
        <v>0.25</v>
      </c>
      <c r="F254" s="947">
        <v>2.6</v>
      </c>
      <c r="G254" s="927">
        <f t="shared" si="12"/>
        <v>1.3</v>
      </c>
      <c r="H254" s="900"/>
    </row>
    <row r="255" spans="1:8">
      <c r="A255" s="936"/>
      <c r="B255" s="886"/>
      <c r="C255" s="899">
        <v>1</v>
      </c>
      <c r="D255" s="947">
        <v>3.16</v>
      </c>
      <c r="E255" s="947">
        <v>0.25</v>
      </c>
      <c r="F255" s="947">
        <v>2.6</v>
      </c>
      <c r="G255" s="927">
        <f t="shared" si="12"/>
        <v>0.65</v>
      </c>
      <c r="H255" s="900"/>
    </row>
    <row r="256" spans="1:8">
      <c r="A256" s="936"/>
      <c r="B256" s="886"/>
      <c r="C256" s="899">
        <v>2</v>
      </c>
      <c r="D256" s="947">
        <v>1.35</v>
      </c>
      <c r="E256" s="947">
        <v>0.25</v>
      </c>
      <c r="F256" s="947">
        <v>2.6</v>
      </c>
      <c r="G256" s="927">
        <f t="shared" si="12"/>
        <v>1.3</v>
      </c>
      <c r="H256" s="900"/>
    </row>
    <row r="257" spans="1:8">
      <c r="A257" s="936"/>
      <c r="B257" s="886"/>
      <c r="C257" s="899">
        <v>2</v>
      </c>
      <c r="D257" s="947">
        <v>3.03</v>
      </c>
      <c r="E257" s="947">
        <v>0.25</v>
      </c>
      <c r="F257" s="947">
        <v>2.6</v>
      </c>
      <c r="G257" s="927">
        <f t="shared" si="12"/>
        <v>1.3</v>
      </c>
      <c r="H257" s="900"/>
    </row>
    <row r="258" spans="1:8">
      <c r="A258" s="936"/>
      <c r="B258" s="886"/>
      <c r="C258" s="899">
        <v>2</v>
      </c>
      <c r="D258" s="947">
        <v>1.06</v>
      </c>
      <c r="E258" s="947">
        <v>0.25</v>
      </c>
      <c r="F258" s="947">
        <v>2.6</v>
      </c>
      <c r="G258" s="927">
        <f t="shared" si="12"/>
        <v>1.3</v>
      </c>
      <c r="H258" s="900"/>
    </row>
    <row r="259" spans="1:8">
      <c r="A259" s="936"/>
      <c r="B259" s="886"/>
      <c r="C259" s="899">
        <v>2</v>
      </c>
      <c r="D259" s="947">
        <v>2.8439999999999999</v>
      </c>
      <c r="E259" s="947">
        <v>0.25</v>
      </c>
      <c r="F259" s="947">
        <v>2.6</v>
      </c>
      <c r="G259" s="927">
        <f t="shared" si="12"/>
        <v>1.3</v>
      </c>
      <c r="H259" s="900"/>
    </row>
    <row r="260" spans="1:8">
      <c r="A260" s="936"/>
      <c r="B260" s="886"/>
      <c r="C260" s="899">
        <v>2</v>
      </c>
      <c r="D260" s="947">
        <v>0.6</v>
      </c>
      <c r="E260" s="947">
        <v>0.25</v>
      </c>
      <c r="F260" s="947">
        <v>2.6</v>
      </c>
      <c r="G260" s="927">
        <f t="shared" si="12"/>
        <v>1.3</v>
      </c>
      <c r="H260" s="900"/>
    </row>
    <row r="261" spans="1:8">
      <c r="A261" s="936"/>
      <c r="B261" s="886"/>
      <c r="C261" s="899">
        <v>2</v>
      </c>
      <c r="D261" s="947">
        <v>0.6</v>
      </c>
      <c r="E261" s="947">
        <v>0.25</v>
      </c>
      <c r="F261" s="947">
        <v>2.6</v>
      </c>
      <c r="G261" s="927">
        <f t="shared" si="12"/>
        <v>1.3</v>
      </c>
      <c r="H261" s="900"/>
    </row>
    <row r="262" spans="1:8">
      <c r="A262" s="936"/>
      <c r="B262" s="855" t="s">
        <v>1449</v>
      </c>
      <c r="C262" s="899"/>
      <c r="D262" s="947"/>
      <c r="E262" s="947"/>
      <c r="F262" s="947"/>
      <c r="G262" s="986"/>
      <c r="H262" s="900"/>
    </row>
    <row r="263" spans="1:8">
      <c r="A263" s="936"/>
      <c r="B263" s="886"/>
      <c r="C263" s="898">
        <v>2</v>
      </c>
      <c r="D263" s="946">
        <v>1.2849999999999999</v>
      </c>
      <c r="E263" s="946">
        <v>0.125</v>
      </c>
      <c r="F263" s="946">
        <v>2.6</v>
      </c>
      <c r="G263" s="927">
        <f>F263*E263*D263*C263</f>
        <v>0.83524999999999994</v>
      </c>
      <c r="H263" s="900"/>
    </row>
    <row r="264" spans="1:8">
      <c r="A264" s="936"/>
      <c r="B264" s="886"/>
      <c r="C264" s="898">
        <v>2</v>
      </c>
      <c r="D264" s="946">
        <v>0.63500000000000001</v>
      </c>
      <c r="E264" s="946">
        <v>0.125</v>
      </c>
      <c r="F264" s="946">
        <v>2.6</v>
      </c>
      <c r="G264" s="927">
        <f t="shared" ref="G264:G272" si="13">F264*E264*D264*C264</f>
        <v>0.41275000000000001</v>
      </c>
      <c r="H264" s="900"/>
    </row>
    <row r="265" spans="1:8">
      <c r="A265" s="936"/>
      <c r="B265" s="886"/>
      <c r="C265" s="898">
        <v>2</v>
      </c>
      <c r="D265" s="946">
        <v>2.3250000000000002</v>
      </c>
      <c r="E265" s="946">
        <v>0.125</v>
      </c>
      <c r="F265" s="946">
        <v>2.6</v>
      </c>
      <c r="G265" s="927">
        <f t="shared" si="13"/>
        <v>1.5112500000000002</v>
      </c>
      <c r="H265" s="900"/>
    </row>
    <row r="266" spans="1:8">
      <c r="A266" s="936"/>
      <c r="B266" s="886"/>
      <c r="C266" s="898">
        <v>2</v>
      </c>
      <c r="D266" s="946">
        <v>1.615</v>
      </c>
      <c r="E266" s="946">
        <v>0.125</v>
      </c>
      <c r="F266" s="946">
        <v>2.6</v>
      </c>
      <c r="G266" s="927">
        <f t="shared" si="13"/>
        <v>1.04975</v>
      </c>
      <c r="H266" s="900"/>
    </row>
    <row r="267" spans="1:8">
      <c r="A267" s="936"/>
      <c r="B267" s="886"/>
      <c r="C267" s="898">
        <v>2</v>
      </c>
      <c r="D267" s="946">
        <v>1</v>
      </c>
      <c r="E267" s="946">
        <v>0.125</v>
      </c>
      <c r="F267" s="946">
        <v>2.6</v>
      </c>
      <c r="G267" s="927">
        <f t="shared" si="13"/>
        <v>0.65</v>
      </c>
      <c r="H267" s="900"/>
    </row>
    <row r="268" spans="1:8">
      <c r="A268" s="936"/>
      <c r="B268" s="886"/>
      <c r="C268" s="898">
        <v>2</v>
      </c>
      <c r="D268" s="946">
        <v>0.9</v>
      </c>
      <c r="E268" s="946">
        <v>0.125</v>
      </c>
      <c r="F268" s="946">
        <v>2.6</v>
      </c>
      <c r="G268" s="927">
        <f t="shared" si="13"/>
        <v>0.58500000000000008</v>
      </c>
      <c r="H268" s="900"/>
    </row>
    <row r="269" spans="1:8">
      <c r="A269" s="936"/>
      <c r="B269" s="886"/>
      <c r="C269" s="898">
        <v>2</v>
      </c>
      <c r="D269" s="946">
        <v>3.38</v>
      </c>
      <c r="E269" s="946">
        <v>0.125</v>
      </c>
      <c r="F269" s="946">
        <v>2.6</v>
      </c>
      <c r="G269" s="927">
        <f t="shared" si="13"/>
        <v>2.1970000000000001</v>
      </c>
      <c r="H269" s="900"/>
    </row>
    <row r="270" spans="1:8">
      <c r="A270" s="936"/>
      <c r="B270" s="886"/>
      <c r="C270" s="898">
        <v>2</v>
      </c>
      <c r="D270" s="946">
        <v>3.38</v>
      </c>
      <c r="E270" s="946">
        <v>0.125</v>
      </c>
      <c r="F270" s="946">
        <v>2.6</v>
      </c>
      <c r="G270" s="927">
        <f t="shared" si="13"/>
        <v>2.1970000000000001</v>
      </c>
      <c r="H270" s="900"/>
    </row>
    <row r="271" spans="1:8">
      <c r="A271" s="936"/>
      <c r="B271" s="886"/>
      <c r="C271" s="898">
        <v>2</v>
      </c>
      <c r="D271" s="946">
        <v>1.35</v>
      </c>
      <c r="E271" s="946">
        <v>0.125</v>
      </c>
      <c r="F271" s="946">
        <v>2.6</v>
      </c>
      <c r="G271" s="927">
        <f t="shared" si="13"/>
        <v>0.87750000000000006</v>
      </c>
      <c r="H271" s="900"/>
    </row>
    <row r="272" spans="1:8">
      <c r="A272" s="936"/>
      <c r="B272" s="886"/>
      <c r="C272" s="898">
        <v>2</v>
      </c>
      <c r="D272" s="946">
        <v>2.0649999999999999</v>
      </c>
      <c r="E272" s="946">
        <v>0.125</v>
      </c>
      <c r="F272" s="946">
        <v>2.6</v>
      </c>
      <c r="G272" s="927">
        <f t="shared" si="13"/>
        <v>1.3422499999999999</v>
      </c>
      <c r="H272" s="900"/>
    </row>
    <row r="273" spans="1:8">
      <c r="A273" s="936"/>
      <c r="B273" s="886"/>
      <c r="C273" s="899"/>
      <c r="D273" s="947"/>
      <c r="E273" s="947"/>
      <c r="F273" s="947"/>
      <c r="G273" s="973">
        <f>SUM(G237:G272)</f>
        <v>36.357750000000003</v>
      </c>
      <c r="H273" s="900"/>
    </row>
    <row r="274" spans="1:8">
      <c r="A274" s="936"/>
      <c r="B274" s="886" t="s">
        <v>1228</v>
      </c>
      <c r="C274" s="860"/>
      <c r="D274" s="889"/>
      <c r="E274" s="889"/>
      <c r="F274" s="889"/>
      <c r="G274" s="886"/>
      <c r="H274" s="900"/>
    </row>
    <row r="275" spans="1:8">
      <c r="A275" s="936"/>
      <c r="B275" s="860" t="s">
        <v>213</v>
      </c>
      <c r="C275" s="860">
        <v>4</v>
      </c>
      <c r="D275" s="889">
        <v>0.75</v>
      </c>
      <c r="E275" s="889">
        <v>0.25</v>
      </c>
      <c r="F275" s="889">
        <v>2.1</v>
      </c>
      <c r="G275" s="927">
        <f t="shared" ref="G275:G283" si="14">F275*E275*D275*C275</f>
        <v>1.5750000000000002</v>
      </c>
      <c r="H275" s="900"/>
    </row>
    <row r="276" spans="1:8">
      <c r="A276" s="936"/>
      <c r="B276" s="860" t="s">
        <v>1359</v>
      </c>
      <c r="C276" s="860">
        <v>4</v>
      </c>
      <c r="D276" s="889">
        <v>0.75</v>
      </c>
      <c r="E276" s="889">
        <v>0.25</v>
      </c>
      <c r="F276" s="889">
        <v>2.1</v>
      </c>
      <c r="G276" s="927">
        <f t="shared" si="14"/>
        <v>1.5750000000000002</v>
      </c>
      <c r="H276" s="900"/>
    </row>
    <row r="277" spans="1:8">
      <c r="A277" s="936"/>
      <c r="B277" s="860" t="s">
        <v>1358</v>
      </c>
      <c r="C277" s="860">
        <v>4</v>
      </c>
      <c r="D277" s="889">
        <v>0.95</v>
      </c>
      <c r="E277" s="889">
        <v>0.125</v>
      </c>
      <c r="F277" s="889">
        <v>2.1</v>
      </c>
      <c r="G277" s="927">
        <f t="shared" si="14"/>
        <v>0.99749999999999994</v>
      </c>
      <c r="H277" s="900"/>
    </row>
    <row r="278" spans="1:8">
      <c r="A278" s="936"/>
      <c r="B278" s="860" t="s">
        <v>1357</v>
      </c>
      <c r="C278" s="860">
        <v>2</v>
      </c>
      <c r="D278" s="889">
        <v>1</v>
      </c>
      <c r="E278" s="889">
        <v>0.125</v>
      </c>
      <c r="F278" s="889">
        <v>2.1</v>
      </c>
      <c r="G278" s="927">
        <f t="shared" si="14"/>
        <v>0.52500000000000002</v>
      </c>
      <c r="H278" s="900"/>
    </row>
    <row r="279" spans="1:8">
      <c r="A279" s="936"/>
      <c r="B279" s="860" t="s">
        <v>1224</v>
      </c>
      <c r="C279" s="860">
        <v>2</v>
      </c>
      <c r="D279" s="889">
        <v>1.7849999999999999</v>
      </c>
      <c r="E279" s="889">
        <v>0.25</v>
      </c>
      <c r="F279" s="889">
        <v>1.5</v>
      </c>
      <c r="G279" s="927">
        <f t="shared" si="14"/>
        <v>1.3387499999999999</v>
      </c>
      <c r="H279" s="900"/>
    </row>
    <row r="280" spans="1:8">
      <c r="A280" s="936"/>
      <c r="B280" s="860" t="s">
        <v>1361</v>
      </c>
      <c r="C280" s="860">
        <v>2</v>
      </c>
      <c r="D280" s="889">
        <v>1.385</v>
      </c>
      <c r="E280" s="889">
        <v>0.25</v>
      </c>
      <c r="F280" s="889">
        <v>1.5</v>
      </c>
      <c r="G280" s="927">
        <f t="shared" si="14"/>
        <v>1.0387500000000001</v>
      </c>
      <c r="H280" s="900"/>
    </row>
    <row r="281" spans="1:8">
      <c r="A281" s="936"/>
      <c r="B281" s="860" t="s">
        <v>1361</v>
      </c>
      <c r="C281" s="860">
        <v>2</v>
      </c>
      <c r="D281" s="889">
        <v>1.2</v>
      </c>
      <c r="E281" s="889">
        <v>0.25</v>
      </c>
      <c r="F281" s="889">
        <v>1.5</v>
      </c>
      <c r="G281" s="927">
        <f t="shared" si="14"/>
        <v>0.89999999999999991</v>
      </c>
      <c r="H281" s="900"/>
    </row>
    <row r="282" spans="1:8">
      <c r="A282" s="936"/>
      <c r="B282" s="860" t="s">
        <v>1361</v>
      </c>
      <c r="C282" s="860">
        <v>2</v>
      </c>
      <c r="D282" s="889">
        <v>1.24</v>
      </c>
      <c r="E282" s="889">
        <v>0.25</v>
      </c>
      <c r="F282" s="889">
        <v>1.5</v>
      </c>
      <c r="G282" s="927">
        <f t="shared" si="14"/>
        <v>0.92999999999999994</v>
      </c>
      <c r="H282" s="900"/>
    </row>
    <row r="283" spans="1:8">
      <c r="A283" s="936"/>
      <c r="B283" s="860" t="s">
        <v>1362</v>
      </c>
      <c r="C283" s="860">
        <v>4</v>
      </c>
      <c r="D283" s="889">
        <v>0.75</v>
      </c>
      <c r="E283" s="889">
        <v>0.25</v>
      </c>
      <c r="F283" s="889">
        <v>0.6</v>
      </c>
      <c r="G283" s="927">
        <f t="shared" si="14"/>
        <v>0.44999999999999996</v>
      </c>
      <c r="H283" s="900"/>
    </row>
    <row r="284" spans="1:8" ht="15">
      <c r="A284" s="936"/>
      <c r="B284" s="886"/>
      <c r="C284" s="899"/>
      <c r="D284" s="947"/>
      <c r="E284" s="947"/>
      <c r="F284" s="949"/>
      <c r="G284" s="1022">
        <f>SUM(G275:G283)</f>
        <v>9.33</v>
      </c>
      <c r="H284" s="900"/>
    </row>
    <row r="285" spans="1:8">
      <c r="A285" s="936"/>
      <c r="B285" s="886"/>
      <c r="C285" s="899"/>
      <c r="D285" s="947"/>
      <c r="E285" s="947"/>
      <c r="F285" s="947"/>
      <c r="G285" s="927"/>
      <c r="H285" s="900"/>
    </row>
    <row r="286" spans="1:8">
      <c r="A286" s="936"/>
      <c r="B286" s="886"/>
      <c r="C286" s="899"/>
      <c r="D286" s="947"/>
      <c r="E286" s="947"/>
      <c r="F286" s="947"/>
      <c r="G286" s="927">
        <f>G273-G284</f>
        <v>27.027750000000005</v>
      </c>
      <c r="H286" s="900"/>
    </row>
    <row r="287" spans="1:8">
      <c r="A287" s="936"/>
      <c r="B287" s="886"/>
      <c r="C287" s="899"/>
      <c r="D287" s="947"/>
      <c r="E287" s="947"/>
      <c r="F287" s="947"/>
      <c r="G287" s="889">
        <f>G286*10%</f>
        <v>2.7027750000000008</v>
      </c>
      <c r="H287" s="900"/>
    </row>
    <row r="288" spans="1:8" ht="15">
      <c r="A288" s="936"/>
      <c r="B288" s="886"/>
      <c r="C288" s="899"/>
      <c r="D288" s="947"/>
      <c r="E288" s="947"/>
      <c r="F288" s="947"/>
      <c r="G288" s="894">
        <f>G287+G286</f>
        <v>29.730525000000007</v>
      </c>
      <c r="H288" s="934" t="s">
        <v>25</v>
      </c>
    </row>
    <row r="289" spans="1:8" ht="15">
      <c r="A289" s="968"/>
      <c r="B289" s="959" t="s">
        <v>1214</v>
      </c>
      <c r="C289" s="899"/>
      <c r="D289" s="947"/>
      <c r="E289" s="947"/>
      <c r="F289" s="947"/>
      <c r="G289" s="986"/>
      <c r="H289" s="904"/>
    </row>
    <row r="290" spans="1:8">
      <c r="A290" s="968"/>
      <c r="B290" s="939" t="s">
        <v>1448</v>
      </c>
      <c r="C290" s="899">
        <v>1</v>
      </c>
      <c r="D290" s="947">
        <v>2.0150000000000001</v>
      </c>
      <c r="E290" s="947">
        <v>0.25</v>
      </c>
      <c r="F290" s="947">
        <v>2.6</v>
      </c>
      <c r="G290" s="927">
        <f>F290*E290*C290</f>
        <v>0.65</v>
      </c>
      <c r="H290" s="904"/>
    </row>
    <row r="291" spans="1:8">
      <c r="A291" s="968"/>
      <c r="B291" s="886"/>
      <c r="C291" s="899">
        <v>1</v>
      </c>
      <c r="D291" s="947">
        <v>2.3650000000000002</v>
      </c>
      <c r="E291" s="947">
        <v>0.25</v>
      </c>
      <c r="F291" s="947">
        <v>2.6</v>
      </c>
      <c r="G291" s="927">
        <f t="shared" ref="G291:G314" si="15">F291*E291*C291</f>
        <v>0.65</v>
      </c>
      <c r="H291" s="904"/>
    </row>
    <row r="292" spans="1:8">
      <c r="A292" s="968"/>
      <c r="B292" s="886"/>
      <c r="C292" s="899">
        <v>1</v>
      </c>
      <c r="D292" s="947">
        <v>2.1139999999999999</v>
      </c>
      <c r="E292" s="947">
        <v>0.25</v>
      </c>
      <c r="F292" s="947">
        <v>2.6</v>
      </c>
      <c r="G292" s="927">
        <f t="shared" si="15"/>
        <v>0.65</v>
      </c>
      <c r="H292" s="904"/>
    </row>
    <row r="293" spans="1:8">
      <c r="A293" s="968"/>
      <c r="B293" s="886"/>
      <c r="C293" s="899">
        <v>1</v>
      </c>
      <c r="D293" s="947">
        <v>2.0150000000000001</v>
      </c>
      <c r="E293" s="947">
        <v>0.25</v>
      </c>
      <c r="F293" s="947">
        <v>2.6</v>
      </c>
      <c r="G293" s="927">
        <f t="shared" si="15"/>
        <v>0.65</v>
      </c>
      <c r="H293" s="904"/>
    </row>
    <row r="294" spans="1:8">
      <c r="A294" s="968"/>
      <c r="B294" s="886"/>
      <c r="C294" s="899">
        <v>2</v>
      </c>
      <c r="D294" s="947">
        <v>0.755</v>
      </c>
      <c r="E294" s="947">
        <v>0.25</v>
      </c>
      <c r="F294" s="947">
        <v>2.6</v>
      </c>
      <c r="G294" s="927">
        <f t="shared" si="15"/>
        <v>1.3</v>
      </c>
      <c r="H294" s="904"/>
    </row>
    <row r="295" spans="1:8">
      <c r="A295" s="968"/>
      <c r="B295" s="886"/>
      <c r="C295" s="899">
        <v>2</v>
      </c>
      <c r="D295" s="947">
        <v>3.35</v>
      </c>
      <c r="E295" s="947">
        <v>0.25</v>
      </c>
      <c r="F295" s="947">
        <v>2.6</v>
      </c>
      <c r="G295" s="927">
        <f t="shared" si="15"/>
        <v>1.3</v>
      </c>
      <c r="H295" s="904"/>
    </row>
    <row r="296" spans="1:8">
      <c r="A296" s="968"/>
      <c r="B296" s="886"/>
      <c r="C296" s="899">
        <v>1</v>
      </c>
      <c r="D296" s="947">
        <v>3.42</v>
      </c>
      <c r="E296" s="947">
        <v>0.25</v>
      </c>
      <c r="F296" s="947">
        <v>2.6</v>
      </c>
      <c r="G296" s="927">
        <f t="shared" si="15"/>
        <v>0.65</v>
      </c>
      <c r="H296" s="904"/>
    </row>
    <row r="297" spans="1:8">
      <c r="A297" s="968"/>
      <c r="B297" s="886"/>
      <c r="C297" s="899">
        <v>1</v>
      </c>
      <c r="D297" s="947">
        <v>1.43</v>
      </c>
      <c r="E297" s="947">
        <v>0.25</v>
      </c>
      <c r="F297" s="947">
        <v>2.6</v>
      </c>
      <c r="G297" s="927">
        <f t="shared" si="15"/>
        <v>0.65</v>
      </c>
      <c r="H297" s="904"/>
    </row>
    <row r="298" spans="1:8">
      <c r="A298" s="968"/>
      <c r="B298" s="886"/>
      <c r="C298" s="899">
        <v>1</v>
      </c>
      <c r="D298" s="947">
        <v>1.99</v>
      </c>
      <c r="E298" s="947">
        <v>0.25</v>
      </c>
      <c r="F298" s="947">
        <v>2.6</v>
      </c>
      <c r="G298" s="927">
        <f t="shared" si="15"/>
        <v>0.65</v>
      </c>
      <c r="H298" s="904"/>
    </row>
    <row r="299" spans="1:8">
      <c r="A299" s="968"/>
      <c r="B299" s="886"/>
      <c r="C299" s="899">
        <v>1</v>
      </c>
      <c r="D299" s="947">
        <v>1.43</v>
      </c>
      <c r="E299" s="947">
        <v>0.25</v>
      </c>
      <c r="F299" s="947">
        <v>2.6</v>
      </c>
      <c r="G299" s="927">
        <f t="shared" si="15"/>
        <v>0.65</v>
      </c>
      <c r="H299" s="904"/>
    </row>
    <row r="300" spans="1:8">
      <c r="A300" s="968"/>
      <c r="B300" s="886"/>
      <c r="C300" s="899">
        <v>1</v>
      </c>
      <c r="D300" s="947">
        <v>1.99</v>
      </c>
      <c r="E300" s="947">
        <v>0.25</v>
      </c>
      <c r="F300" s="947">
        <v>2.6</v>
      </c>
      <c r="G300" s="927">
        <f t="shared" si="15"/>
        <v>0.65</v>
      </c>
      <c r="H300" s="904"/>
    </row>
    <row r="301" spans="1:8">
      <c r="A301" s="968"/>
      <c r="B301" s="886"/>
      <c r="C301" s="899">
        <v>2</v>
      </c>
      <c r="D301" s="947">
        <v>1.6850000000000001</v>
      </c>
      <c r="E301" s="947">
        <v>0.25</v>
      </c>
      <c r="F301" s="947">
        <v>2.6</v>
      </c>
      <c r="G301" s="927">
        <f t="shared" si="15"/>
        <v>1.3</v>
      </c>
      <c r="H301" s="904"/>
    </row>
    <row r="302" spans="1:8">
      <c r="A302" s="968"/>
      <c r="B302" s="886"/>
      <c r="C302" s="899">
        <v>2</v>
      </c>
      <c r="D302" s="947">
        <v>2.15</v>
      </c>
      <c r="E302" s="947">
        <v>0.25</v>
      </c>
      <c r="F302" s="947">
        <v>2.6</v>
      </c>
      <c r="G302" s="927">
        <f t="shared" si="15"/>
        <v>1.3</v>
      </c>
      <c r="H302" s="904"/>
    </row>
    <row r="303" spans="1:8">
      <c r="A303" s="968"/>
      <c r="B303" s="886"/>
      <c r="C303" s="899">
        <v>2</v>
      </c>
      <c r="D303" s="947">
        <v>1.2</v>
      </c>
      <c r="E303" s="947">
        <v>0.25</v>
      </c>
      <c r="F303" s="947">
        <v>2.6</v>
      </c>
      <c r="G303" s="927">
        <f t="shared" si="15"/>
        <v>1.3</v>
      </c>
      <c r="H303" s="904"/>
    </row>
    <row r="304" spans="1:8">
      <c r="A304" s="968"/>
      <c r="B304" s="886"/>
      <c r="C304" s="899">
        <v>1</v>
      </c>
      <c r="D304" s="947">
        <v>3.61</v>
      </c>
      <c r="E304" s="947">
        <v>0.25</v>
      </c>
      <c r="F304" s="947">
        <v>2.6</v>
      </c>
      <c r="G304" s="927">
        <f t="shared" si="15"/>
        <v>0.65</v>
      </c>
      <c r="H304" s="904"/>
    </row>
    <row r="305" spans="1:8">
      <c r="A305" s="968"/>
      <c r="B305" s="886"/>
      <c r="C305" s="899">
        <v>2</v>
      </c>
      <c r="D305" s="947">
        <v>1.165</v>
      </c>
      <c r="E305" s="947">
        <v>0.25</v>
      </c>
      <c r="F305" s="947">
        <v>2.6</v>
      </c>
      <c r="G305" s="927">
        <f t="shared" si="15"/>
        <v>1.3</v>
      </c>
      <c r="H305" s="904"/>
    </row>
    <row r="306" spans="1:8">
      <c r="A306" s="968"/>
      <c r="B306" s="886"/>
      <c r="C306" s="899">
        <v>1</v>
      </c>
      <c r="D306" s="947">
        <v>4.8099999999999996</v>
      </c>
      <c r="E306" s="947">
        <v>0.25</v>
      </c>
      <c r="F306" s="947">
        <v>2.6</v>
      </c>
      <c r="G306" s="927">
        <f t="shared" si="15"/>
        <v>0.65</v>
      </c>
      <c r="H306" s="904"/>
    </row>
    <row r="307" spans="1:8">
      <c r="A307" s="968"/>
      <c r="B307" s="886"/>
      <c r="C307" s="899">
        <v>2</v>
      </c>
      <c r="D307" s="947">
        <v>1.395</v>
      </c>
      <c r="E307" s="947">
        <v>0.25</v>
      </c>
      <c r="F307" s="947">
        <v>2.6</v>
      </c>
      <c r="G307" s="927">
        <f t="shared" si="15"/>
        <v>1.3</v>
      </c>
      <c r="H307" s="904"/>
    </row>
    <row r="308" spans="1:8">
      <c r="A308" s="968"/>
      <c r="B308" s="886"/>
      <c r="C308" s="899">
        <v>1</v>
      </c>
      <c r="D308" s="947">
        <v>3.16</v>
      </c>
      <c r="E308" s="947">
        <v>0.25</v>
      </c>
      <c r="F308" s="947">
        <v>2.6</v>
      </c>
      <c r="G308" s="927">
        <f t="shared" si="15"/>
        <v>0.65</v>
      </c>
      <c r="H308" s="904"/>
    </row>
    <row r="309" spans="1:8">
      <c r="A309" s="968"/>
      <c r="B309" s="886"/>
      <c r="C309" s="899">
        <v>2</v>
      </c>
      <c r="D309" s="947">
        <v>1.35</v>
      </c>
      <c r="E309" s="947">
        <v>0.25</v>
      </c>
      <c r="F309" s="947">
        <v>2.6</v>
      </c>
      <c r="G309" s="927">
        <f t="shared" si="15"/>
        <v>1.3</v>
      </c>
      <c r="H309" s="904"/>
    </row>
    <row r="310" spans="1:8">
      <c r="A310" s="968"/>
      <c r="B310" s="886"/>
      <c r="C310" s="899">
        <v>2</v>
      </c>
      <c r="D310" s="947">
        <v>3.03</v>
      </c>
      <c r="E310" s="947">
        <v>0.25</v>
      </c>
      <c r="F310" s="947">
        <v>2.6</v>
      </c>
      <c r="G310" s="927">
        <f t="shared" si="15"/>
        <v>1.3</v>
      </c>
      <c r="H310" s="904"/>
    </row>
    <row r="311" spans="1:8">
      <c r="A311" s="968"/>
      <c r="B311" s="886"/>
      <c r="C311" s="899">
        <v>2</v>
      </c>
      <c r="D311" s="947">
        <v>1.06</v>
      </c>
      <c r="E311" s="947">
        <v>0.25</v>
      </c>
      <c r="F311" s="947">
        <v>2.6</v>
      </c>
      <c r="G311" s="927">
        <f t="shared" si="15"/>
        <v>1.3</v>
      </c>
      <c r="H311" s="904"/>
    </row>
    <row r="312" spans="1:8">
      <c r="A312" s="968"/>
      <c r="B312" s="886"/>
      <c r="C312" s="899">
        <v>2</v>
      </c>
      <c r="D312" s="947">
        <v>2.8439999999999999</v>
      </c>
      <c r="E312" s="947">
        <v>0.25</v>
      </c>
      <c r="F312" s="947">
        <v>2.6</v>
      </c>
      <c r="G312" s="927">
        <f t="shared" si="15"/>
        <v>1.3</v>
      </c>
      <c r="H312" s="904"/>
    </row>
    <row r="313" spans="1:8">
      <c r="A313" s="968"/>
      <c r="B313" s="886"/>
      <c r="C313" s="899">
        <v>2</v>
      </c>
      <c r="D313" s="947">
        <v>0.6</v>
      </c>
      <c r="E313" s="947">
        <v>0.25</v>
      </c>
      <c r="F313" s="947">
        <v>2.6</v>
      </c>
      <c r="G313" s="927">
        <f t="shared" si="15"/>
        <v>1.3</v>
      </c>
      <c r="H313" s="904"/>
    </row>
    <row r="314" spans="1:8">
      <c r="A314" s="968"/>
      <c r="B314" s="886"/>
      <c r="C314" s="899">
        <v>2</v>
      </c>
      <c r="D314" s="947">
        <v>0.6</v>
      </c>
      <c r="E314" s="947">
        <v>0.25</v>
      </c>
      <c r="F314" s="947">
        <v>2.6</v>
      </c>
      <c r="G314" s="927">
        <f t="shared" si="15"/>
        <v>1.3</v>
      </c>
      <c r="H314" s="904"/>
    </row>
    <row r="315" spans="1:8">
      <c r="A315" s="968"/>
      <c r="B315" s="855" t="s">
        <v>1449</v>
      </c>
      <c r="C315" s="899"/>
      <c r="D315" s="947"/>
      <c r="E315" s="947"/>
      <c r="F315" s="947"/>
      <c r="G315" s="927"/>
      <c r="H315" s="904"/>
    </row>
    <row r="316" spans="1:8">
      <c r="A316" s="968"/>
      <c r="B316" s="886"/>
      <c r="C316" s="898">
        <v>2</v>
      </c>
      <c r="D316" s="946">
        <v>1.2849999999999999</v>
      </c>
      <c r="E316" s="946">
        <v>0.125</v>
      </c>
      <c r="F316" s="946">
        <v>2.6</v>
      </c>
      <c r="G316" s="927">
        <f>F316*E316*D316*C316</f>
        <v>0.83524999999999994</v>
      </c>
      <c r="H316" s="904"/>
    </row>
    <row r="317" spans="1:8">
      <c r="A317" s="968"/>
      <c r="B317" s="886"/>
      <c r="C317" s="898">
        <v>2</v>
      </c>
      <c r="D317" s="946">
        <v>0.63500000000000001</v>
      </c>
      <c r="E317" s="946">
        <v>0.125</v>
      </c>
      <c r="F317" s="946">
        <v>2.6</v>
      </c>
      <c r="G317" s="927">
        <f t="shared" ref="G317:G325" si="16">F317*E317*D317*C317</f>
        <v>0.41275000000000001</v>
      </c>
      <c r="H317" s="904"/>
    </row>
    <row r="318" spans="1:8">
      <c r="A318" s="968"/>
      <c r="B318" s="886"/>
      <c r="C318" s="898">
        <v>2</v>
      </c>
      <c r="D318" s="946">
        <v>2.3250000000000002</v>
      </c>
      <c r="E318" s="946">
        <v>0.125</v>
      </c>
      <c r="F318" s="946">
        <v>2.6</v>
      </c>
      <c r="G318" s="927">
        <f t="shared" si="16"/>
        <v>1.5112500000000002</v>
      </c>
      <c r="H318" s="904"/>
    </row>
    <row r="319" spans="1:8">
      <c r="A319" s="968"/>
      <c r="B319" s="886"/>
      <c r="C319" s="898">
        <v>2</v>
      </c>
      <c r="D319" s="946">
        <v>1.615</v>
      </c>
      <c r="E319" s="946">
        <v>0.125</v>
      </c>
      <c r="F319" s="946">
        <v>2.6</v>
      </c>
      <c r="G319" s="927">
        <f t="shared" si="16"/>
        <v>1.04975</v>
      </c>
      <c r="H319" s="904"/>
    </row>
    <row r="320" spans="1:8">
      <c r="A320" s="968"/>
      <c r="B320" s="886"/>
      <c r="C320" s="898">
        <v>2</v>
      </c>
      <c r="D320" s="946">
        <v>1</v>
      </c>
      <c r="E320" s="946">
        <v>0.125</v>
      </c>
      <c r="F320" s="946">
        <v>2.6</v>
      </c>
      <c r="G320" s="927">
        <f t="shared" si="16"/>
        <v>0.65</v>
      </c>
      <c r="H320" s="904"/>
    </row>
    <row r="321" spans="1:8">
      <c r="A321" s="968"/>
      <c r="B321" s="886"/>
      <c r="C321" s="898">
        <v>2</v>
      </c>
      <c r="D321" s="946">
        <v>0.9</v>
      </c>
      <c r="E321" s="946">
        <v>0.125</v>
      </c>
      <c r="F321" s="946">
        <v>2.6</v>
      </c>
      <c r="G321" s="927">
        <f t="shared" si="16"/>
        <v>0.58500000000000008</v>
      </c>
      <c r="H321" s="904"/>
    </row>
    <row r="322" spans="1:8">
      <c r="A322" s="968"/>
      <c r="B322" s="886"/>
      <c r="C322" s="898">
        <v>2</v>
      </c>
      <c r="D322" s="946">
        <v>3.38</v>
      </c>
      <c r="E322" s="946">
        <v>0.125</v>
      </c>
      <c r="F322" s="946">
        <v>2.6</v>
      </c>
      <c r="G322" s="927">
        <f t="shared" si="16"/>
        <v>2.1970000000000001</v>
      </c>
      <c r="H322" s="904"/>
    </row>
    <row r="323" spans="1:8">
      <c r="A323" s="968"/>
      <c r="B323" s="886"/>
      <c r="C323" s="898">
        <v>2</v>
      </c>
      <c r="D323" s="946">
        <v>3.38</v>
      </c>
      <c r="E323" s="946">
        <v>0.125</v>
      </c>
      <c r="F323" s="946">
        <v>2.6</v>
      </c>
      <c r="G323" s="927">
        <f t="shared" si="16"/>
        <v>2.1970000000000001</v>
      </c>
      <c r="H323" s="904"/>
    </row>
    <row r="324" spans="1:8">
      <c r="A324" s="968"/>
      <c r="B324" s="886"/>
      <c r="C324" s="898">
        <v>2</v>
      </c>
      <c r="D324" s="946">
        <v>1.35</v>
      </c>
      <c r="E324" s="946">
        <v>0.125</v>
      </c>
      <c r="F324" s="946">
        <v>2.6</v>
      </c>
      <c r="G324" s="927">
        <f t="shared" si="16"/>
        <v>0.87750000000000006</v>
      </c>
      <c r="H324" s="904"/>
    </row>
    <row r="325" spans="1:8">
      <c r="A325" s="968"/>
      <c r="B325" s="886"/>
      <c r="C325" s="898">
        <v>2</v>
      </c>
      <c r="D325" s="946">
        <v>2.0649999999999999</v>
      </c>
      <c r="E325" s="946">
        <v>0.125</v>
      </c>
      <c r="F325" s="946">
        <v>2.6</v>
      </c>
      <c r="G325" s="927">
        <f t="shared" si="16"/>
        <v>1.3422499999999999</v>
      </c>
      <c r="H325" s="904"/>
    </row>
    <row r="326" spans="1:8">
      <c r="A326" s="936"/>
      <c r="B326" s="886"/>
      <c r="C326" s="899"/>
      <c r="D326" s="947"/>
      <c r="E326" s="947"/>
      <c r="F326" s="947"/>
      <c r="G326" s="927">
        <f>SUM(G290:G325)</f>
        <v>36.357750000000003</v>
      </c>
      <c r="H326" s="900"/>
    </row>
    <row r="327" spans="1:8">
      <c r="A327" s="936"/>
      <c r="B327" s="886" t="s">
        <v>1228</v>
      </c>
      <c r="C327" s="860"/>
      <c r="D327" s="889"/>
      <c r="E327" s="889"/>
      <c r="F327" s="889"/>
      <c r="G327" s="886"/>
      <c r="H327" s="900"/>
    </row>
    <row r="328" spans="1:8">
      <c r="A328" s="936"/>
      <c r="B328" s="860"/>
      <c r="H328" s="900"/>
    </row>
    <row r="329" spans="1:8">
      <c r="A329" s="936"/>
      <c r="B329" s="860" t="s">
        <v>213</v>
      </c>
      <c r="C329" s="860">
        <v>4</v>
      </c>
      <c r="D329" s="889">
        <v>0.75</v>
      </c>
      <c r="E329" s="889">
        <v>0.25</v>
      </c>
      <c r="F329" s="889">
        <v>2.1</v>
      </c>
      <c r="G329" s="927">
        <f t="shared" ref="G329:G337" si="17">F329*E329*D329*C329</f>
        <v>1.5750000000000002</v>
      </c>
      <c r="H329" s="900"/>
    </row>
    <row r="330" spans="1:8">
      <c r="A330" s="936"/>
      <c r="B330" s="860" t="s">
        <v>1359</v>
      </c>
      <c r="C330" s="860">
        <v>4</v>
      </c>
      <c r="D330" s="889">
        <v>0.75</v>
      </c>
      <c r="E330" s="889">
        <v>0.25</v>
      </c>
      <c r="F330" s="889">
        <v>2.1</v>
      </c>
      <c r="G330" s="927">
        <f t="shared" si="17"/>
        <v>1.5750000000000002</v>
      </c>
      <c r="H330" s="900"/>
    </row>
    <row r="331" spans="1:8">
      <c r="A331" s="936"/>
      <c r="B331" s="860" t="s">
        <v>1358</v>
      </c>
      <c r="C331" s="860">
        <v>4</v>
      </c>
      <c r="D331" s="889">
        <v>0.95</v>
      </c>
      <c r="E331" s="889">
        <v>0.125</v>
      </c>
      <c r="F331" s="889">
        <v>2.1</v>
      </c>
      <c r="G331" s="927">
        <f t="shared" si="17"/>
        <v>0.99749999999999994</v>
      </c>
      <c r="H331" s="900"/>
    </row>
    <row r="332" spans="1:8">
      <c r="A332" s="936"/>
      <c r="B332" s="860" t="s">
        <v>1357</v>
      </c>
      <c r="C332" s="860">
        <v>2</v>
      </c>
      <c r="D332" s="889">
        <v>1</v>
      </c>
      <c r="E332" s="889">
        <v>0.125</v>
      </c>
      <c r="F332" s="889">
        <v>2.1</v>
      </c>
      <c r="G332" s="927">
        <f t="shared" si="17"/>
        <v>0.52500000000000002</v>
      </c>
      <c r="H332" s="900"/>
    </row>
    <row r="333" spans="1:8">
      <c r="A333" s="936"/>
      <c r="B333" s="860" t="s">
        <v>1224</v>
      </c>
      <c r="C333" s="860">
        <v>2</v>
      </c>
      <c r="D333" s="889">
        <v>1.7849999999999999</v>
      </c>
      <c r="E333" s="889">
        <v>0.25</v>
      </c>
      <c r="F333" s="889">
        <v>1.5</v>
      </c>
      <c r="G333" s="927">
        <f t="shared" si="17"/>
        <v>1.3387499999999999</v>
      </c>
      <c r="H333" s="900"/>
    </row>
    <row r="334" spans="1:8">
      <c r="A334" s="936"/>
      <c r="B334" s="860" t="s">
        <v>1224</v>
      </c>
      <c r="C334" s="860">
        <v>2</v>
      </c>
      <c r="D334" s="889">
        <v>1.385</v>
      </c>
      <c r="E334" s="889">
        <v>0.25</v>
      </c>
      <c r="F334" s="889">
        <v>1.5</v>
      </c>
      <c r="G334" s="927">
        <f t="shared" si="17"/>
        <v>1.0387500000000001</v>
      </c>
      <c r="H334" s="900"/>
    </row>
    <row r="335" spans="1:8">
      <c r="A335" s="936"/>
      <c r="B335" s="860" t="s">
        <v>1361</v>
      </c>
      <c r="C335" s="860">
        <v>2</v>
      </c>
      <c r="D335" s="889">
        <v>1.2</v>
      </c>
      <c r="E335" s="889">
        <v>0.25</v>
      </c>
      <c r="F335" s="889">
        <v>1.5</v>
      </c>
      <c r="G335" s="927">
        <f t="shared" si="17"/>
        <v>0.89999999999999991</v>
      </c>
      <c r="H335" s="900"/>
    </row>
    <row r="336" spans="1:8">
      <c r="A336" s="936"/>
      <c r="B336" s="860" t="s">
        <v>1361</v>
      </c>
      <c r="C336" s="860">
        <v>2</v>
      </c>
      <c r="D336" s="889">
        <v>1.24</v>
      </c>
      <c r="E336" s="889">
        <v>0.25</v>
      </c>
      <c r="F336" s="889">
        <v>1.5</v>
      </c>
      <c r="G336" s="927">
        <f t="shared" si="17"/>
        <v>0.92999999999999994</v>
      </c>
      <c r="H336" s="900"/>
    </row>
    <row r="337" spans="1:8">
      <c r="A337" s="936"/>
      <c r="B337" s="860" t="s">
        <v>1362</v>
      </c>
      <c r="C337" s="860">
        <v>4</v>
      </c>
      <c r="D337" s="889">
        <v>0.75</v>
      </c>
      <c r="E337" s="889">
        <v>0.25</v>
      </c>
      <c r="F337" s="889">
        <v>0.6</v>
      </c>
      <c r="G337" s="927">
        <f t="shared" si="17"/>
        <v>0.44999999999999996</v>
      </c>
      <c r="H337" s="900"/>
    </row>
    <row r="338" spans="1:8" ht="15">
      <c r="A338" s="936"/>
      <c r="B338" s="886"/>
      <c r="C338" s="899"/>
      <c r="D338" s="947"/>
      <c r="E338" s="947"/>
      <c r="F338" s="947"/>
      <c r="G338" s="928">
        <f>SUM(G329:G337)</f>
        <v>9.33</v>
      </c>
      <c r="H338" s="900"/>
    </row>
    <row r="339" spans="1:8">
      <c r="A339" s="936"/>
      <c r="B339" s="886"/>
      <c r="C339" s="886"/>
      <c r="D339" s="1000"/>
      <c r="E339" s="947"/>
      <c r="F339" s="1000"/>
      <c r="G339" s="927">
        <f>G326-G338</f>
        <v>27.027750000000005</v>
      </c>
      <c r="H339" s="900"/>
    </row>
    <row r="340" spans="1:8">
      <c r="A340" s="936"/>
      <c r="B340" s="886"/>
      <c r="C340" s="886"/>
      <c r="D340" s="1000"/>
      <c r="E340" s="947"/>
      <c r="F340" s="1000"/>
      <c r="G340" s="889">
        <f>G339*10%</f>
        <v>2.7027750000000008</v>
      </c>
      <c r="H340" s="900"/>
    </row>
    <row r="341" spans="1:8" ht="15">
      <c r="A341" s="936"/>
      <c r="B341" s="886"/>
      <c r="C341" s="886"/>
      <c r="D341" s="1000"/>
      <c r="E341" s="947"/>
      <c r="F341" s="1000"/>
      <c r="G341" s="894">
        <f>G340+G339</f>
        <v>29.730525000000007</v>
      </c>
      <c r="H341" s="934" t="s">
        <v>25</v>
      </c>
    </row>
    <row r="342" spans="1:8" ht="15">
      <c r="A342" s="161"/>
      <c r="B342" s="959" t="s">
        <v>1229</v>
      </c>
      <c r="C342" s="910">
        <v>2</v>
      </c>
      <c r="D342" s="910">
        <v>2.61</v>
      </c>
      <c r="E342" s="910">
        <v>0.25</v>
      </c>
      <c r="F342" s="910">
        <v>0.9</v>
      </c>
      <c r="G342" s="1023">
        <f>F342*E342*D342*C342</f>
        <v>1.1744999999999999</v>
      </c>
      <c r="H342" s="900"/>
    </row>
    <row r="343" spans="1:8" ht="15">
      <c r="A343" s="161"/>
      <c r="B343" s="959"/>
      <c r="C343" s="910">
        <v>2</v>
      </c>
      <c r="D343" s="910">
        <v>0.41499999999999998</v>
      </c>
      <c r="E343" s="910">
        <v>0.25</v>
      </c>
      <c r="F343" s="910">
        <v>0.9</v>
      </c>
      <c r="G343" s="1023">
        <f t="shared" ref="G343:G357" si="18">F343*E343*D343*C343</f>
        <v>0.18675</v>
      </c>
      <c r="H343" s="900"/>
    </row>
    <row r="344" spans="1:8" ht="15">
      <c r="A344" s="161"/>
      <c r="B344" s="959"/>
      <c r="C344" s="910">
        <v>2</v>
      </c>
      <c r="D344" s="910">
        <v>2.2850000000000001</v>
      </c>
      <c r="E344" s="910">
        <v>0.25</v>
      </c>
      <c r="F344" s="910">
        <v>0.9</v>
      </c>
      <c r="G344" s="1023">
        <f t="shared" si="18"/>
        <v>1.0282500000000001</v>
      </c>
      <c r="H344" s="900"/>
    </row>
    <row r="345" spans="1:8" ht="15">
      <c r="A345" s="161"/>
      <c r="B345" s="959"/>
      <c r="C345" s="910">
        <v>2</v>
      </c>
      <c r="D345" s="910">
        <v>1.615</v>
      </c>
      <c r="E345" s="910">
        <v>0.25</v>
      </c>
      <c r="F345" s="910">
        <v>0.9</v>
      </c>
      <c r="G345" s="1023">
        <f t="shared" si="18"/>
        <v>0.72675000000000001</v>
      </c>
      <c r="H345" s="900"/>
    </row>
    <row r="346" spans="1:8" ht="15">
      <c r="A346" s="161"/>
      <c r="B346" s="959"/>
      <c r="C346" s="910">
        <v>2</v>
      </c>
      <c r="D346" s="910">
        <v>2.0150000000000001</v>
      </c>
      <c r="E346" s="910">
        <v>0.25</v>
      </c>
      <c r="F346" s="910">
        <v>0.9</v>
      </c>
      <c r="G346" s="1023">
        <f t="shared" si="18"/>
        <v>0.90675000000000006</v>
      </c>
      <c r="H346" s="900"/>
    </row>
    <row r="347" spans="1:8" ht="15">
      <c r="A347" s="161"/>
      <c r="B347" s="959"/>
      <c r="C347" s="910">
        <v>2</v>
      </c>
      <c r="D347" s="910">
        <v>4.0599999999999996</v>
      </c>
      <c r="E347" s="910">
        <v>0.25</v>
      </c>
      <c r="F347" s="910">
        <v>0.9</v>
      </c>
      <c r="G347" s="1023">
        <f t="shared" si="18"/>
        <v>1.827</v>
      </c>
      <c r="H347" s="900"/>
    </row>
    <row r="348" spans="1:8" ht="15">
      <c r="A348" s="161"/>
      <c r="B348" s="959"/>
      <c r="C348" s="910">
        <v>2</v>
      </c>
      <c r="D348" s="910">
        <v>0.755</v>
      </c>
      <c r="E348" s="910">
        <v>0.25</v>
      </c>
      <c r="F348" s="910">
        <v>0.9</v>
      </c>
      <c r="G348" s="1023">
        <f t="shared" si="18"/>
        <v>0.33975</v>
      </c>
      <c r="H348" s="900"/>
    </row>
    <row r="349" spans="1:8" ht="15">
      <c r="A349" s="161"/>
      <c r="B349" s="959"/>
      <c r="C349" s="910">
        <v>2</v>
      </c>
      <c r="D349" s="910">
        <v>1.2350000000000001</v>
      </c>
      <c r="E349" s="910">
        <v>0.25</v>
      </c>
      <c r="F349" s="910">
        <v>0.9</v>
      </c>
      <c r="G349" s="1023">
        <f t="shared" si="18"/>
        <v>0.55575000000000008</v>
      </c>
      <c r="H349" s="900"/>
    </row>
    <row r="350" spans="1:8" ht="15">
      <c r="A350" s="161"/>
      <c r="B350" s="959"/>
      <c r="C350" s="910">
        <v>2</v>
      </c>
      <c r="D350" s="910">
        <v>0.755</v>
      </c>
      <c r="E350" s="910">
        <v>0.25</v>
      </c>
      <c r="F350" s="910">
        <v>0.9</v>
      </c>
      <c r="G350" s="1023">
        <f t="shared" si="18"/>
        <v>0.33975</v>
      </c>
      <c r="H350" s="900"/>
    </row>
    <row r="351" spans="1:8" ht="15">
      <c r="A351" s="161"/>
      <c r="B351" s="959"/>
      <c r="C351" s="910">
        <v>1</v>
      </c>
      <c r="D351" s="863">
        <v>4.3600000000000003</v>
      </c>
      <c r="E351" s="910">
        <v>0.25</v>
      </c>
      <c r="F351" s="910">
        <v>0.9</v>
      </c>
      <c r="G351" s="1023">
        <f t="shared" si="18"/>
        <v>0.98100000000000009</v>
      </c>
      <c r="H351" s="900"/>
    </row>
    <row r="352" spans="1:8" ht="15">
      <c r="A352" s="161"/>
      <c r="B352" s="959"/>
      <c r="C352" s="910">
        <v>1</v>
      </c>
      <c r="D352" s="863">
        <v>1.61</v>
      </c>
      <c r="E352" s="910">
        <v>0.25</v>
      </c>
      <c r="F352" s="910">
        <v>0.9</v>
      </c>
      <c r="G352" s="1023">
        <f t="shared" si="18"/>
        <v>0.36225000000000002</v>
      </c>
      <c r="H352" s="900"/>
    </row>
    <row r="353" spans="1:8" ht="15">
      <c r="A353" s="161"/>
      <c r="B353" s="959"/>
      <c r="C353" s="910">
        <v>1</v>
      </c>
      <c r="D353" s="863">
        <v>0.3</v>
      </c>
      <c r="E353" s="910">
        <v>0.25</v>
      </c>
      <c r="F353" s="910">
        <v>0.9</v>
      </c>
      <c r="G353" s="1023">
        <f t="shared" si="18"/>
        <v>6.7500000000000004E-2</v>
      </c>
      <c r="H353" s="900"/>
    </row>
    <row r="354" spans="1:8" ht="15">
      <c r="A354" s="161"/>
      <c r="B354" s="959"/>
      <c r="C354" s="860">
        <v>1</v>
      </c>
      <c r="D354" s="863">
        <v>2.27</v>
      </c>
      <c r="E354" s="910">
        <v>0.25</v>
      </c>
      <c r="F354" s="910">
        <v>0.9</v>
      </c>
      <c r="G354" s="1023">
        <f t="shared" si="18"/>
        <v>0.51075000000000004</v>
      </c>
      <c r="H354" s="900"/>
    </row>
    <row r="355" spans="1:8" ht="15">
      <c r="A355" s="161"/>
      <c r="B355" s="959"/>
      <c r="C355" s="860">
        <v>1</v>
      </c>
      <c r="D355" s="863">
        <v>2.1800000000000002</v>
      </c>
      <c r="E355" s="910">
        <v>0.25</v>
      </c>
      <c r="F355" s="910">
        <v>0.9</v>
      </c>
      <c r="G355" s="1023">
        <f t="shared" si="18"/>
        <v>0.49050000000000005</v>
      </c>
      <c r="H355" s="900"/>
    </row>
    <row r="356" spans="1:8" ht="15">
      <c r="A356" s="161"/>
      <c r="B356" s="959"/>
      <c r="C356" s="860">
        <v>1</v>
      </c>
      <c r="D356" s="863">
        <v>1.6850000000000001</v>
      </c>
      <c r="E356" s="910">
        <v>0.25</v>
      </c>
      <c r="F356" s="910">
        <v>0.9</v>
      </c>
      <c r="G356" s="1023">
        <f t="shared" si="18"/>
        <v>0.37912500000000005</v>
      </c>
      <c r="H356" s="900"/>
    </row>
    <row r="357" spans="1:8" ht="15">
      <c r="A357" s="161"/>
      <c r="B357" s="959"/>
      <c r="C357" s="860">
        <v>1</v>
      </c>
      <c r="D357" s="863">
        <v>1.1850000000000001</v>
      </c>
      <c r="E357" s="946">
        <v>0.25</v>
      </c>
      <c r="F357" s="910">
        <v>0.9</v>
      </c>
      <c r="G357" s="1023">
        <f t="shared" si="18"/>
        <v>0.266625</v>
      </c>
      <c r="H357" s="900"/>
    </row>
    <row r="358" spans="1:8" ht="15">
      <c r="A358" s="161"/>
      <c r="B358" s="959"/>
      <c r="C358" s="860">
        <v>1</v>
      </c>
      <c r="D358" s="863">
        <v>1.345</v>
      </c>
      <c r="E358" s="946">
        <v>0.25</v>
      </c>
      <c r="F358" s="910">
        <v>1.9</v>
      </c>
      <c r="G358" s="1023">
        <f>F358*E358*D358*C358</f>
        <v>0.63887499999999997</v>
      </c>
      <c r="H358" s="900"/>
    </row>
    <row r="359" spans="1:8" ht="15">
      <c r="A359" s="936"/>
      <c r="B359" s="959" t="s">
        <v>1161</v>
      </c>
      <c r="C359" s="899">
        <v>2</v>
      </c>
      <c r="D359" s="947">
        <v>3.03</v>
      </c>
      <c r="E359" s="947">
        <v>0.25</v>
      </c>
      <c r="F359" s="947">
        <v>2.1</v>
      </c>
      <c r="G359" s="927">
        <f>F359*E359*D359*C359</f>
        <v>3.1814999999999998</v>
      </c>
      <c r="H359" s="900"/>
    </row>
    <row r="360" spans="1:8" ht="15">
      <c r="A360" s="936"/>
      <c r="B360" s="959"/>
      <c r="C360" s="899">
        <v>2</v>
      </c>
      <c r="D360" s="947">
        <v>2.23</v>
      </c>
      <c r="E360" s="947">
        <v>0.25</v>
      </c>
      <c r="F360" s="947">
        <v>2.1</v>
      </c>
      <c r="G360" s="927">
        <f>F360*E360*D360*C360</f>
        <v>2.3414999999999999</v>
      </c>
      <c r="H360" s="900"/>
    </row>
    <row r="361" spans="1:8">
      <c r="A361" s="936"/>
      <c r="B361" s="886"/>
      <c r="C361" s="886"/>
      <c r="D361" s="1000"/>
      <c r="E361" s="947"/>
      <c r="F361" s="1000"/>
      <c r="G361" s="927">
        <f>SUM(G342:G360)</f>
        <v>16.304875000000003</v>
      </c>
      <c r="H361" s="900"/>
    </row>
    <row r="362" spans="1:8">
      <c r="A362" s="936"/>
      <c r="B362" s="855" t="s">
        <v>1230</v>
      </c>
      <c r="C362" s="899"/>
      <c r="D362" s="947"/>
      <c r="E362" s="947"/>
      <c r="F362" s="947"/>
      <c r="G362" s="927"/>
      <c r="H362" s="900"/>
    </row>
    <row r="363" spans="1:8">
      <c r="A363" s="936"/>
      <c r="B363" s="855" t="s">
        <v>213</v>
      </c>
      <c r="C363" s="899">
        <v>2</v>
      </c>
      <c r="D363" s="947">
        <v>0.9</v>
      </c>
      <c r="E363" s="947">
        <v>0.25</v>
      </c>
      <c r="F363" s="947">
        <v>2.1</v>
      </c>
      <c r="G363" s="927">
        <f>F363*E363*D363*C363</f>
        <v>0.94500000000000006</v>
      </c>
      <c r="H363" s="900"/>
    </row>
    <row r="364" spans="1:8">
      <c r="A364" s="936"/>
      <c r="B364" s="855"/>
      <c r="C364" s="899"/>
      <c r="D364" s="947"/>
      <c r="E364" s="947"/>
      <c r="F364" s="947"/>
      <c r="G364" s="927">
        <f>G361-G363</f>
        <v>15.359875000000002</v>
      </c>
      <c r="H364" s="900"/>
    </row>
    <row r="365" spans="1:8">
      <c r="A365" s="936"/>
      <c r="B365" s="855"/>
      <c r="C365" s="899"/>
      <c r="D365" s="947"/>
      <c r="E365" s="947"/>
      <c r="F365" s="947"/>
      <c r="G365" s="889">
        <f>G364*10%</f>
        <v>1.5359875000000003</v>
      </c>
      <c r="H365" s="900"/>
    </row>
    <row r="366" spans="1:8" ht="15">
      <c r="A366" s="936"/>
      <c r="B366" s="886"/>
      <c r="C366" s="886"/>
      <c r="D366" s="1000"/>
      <c r="E366" s="947"/>
      <c r="F366" s="1024"/>
      <c r="G366" s="894">
        <f>G365+G364</f>
        <v>16.895862500000003</v>
      </c>
      <c r="H366" s="934" t="s">
        <v>25</v>
      </c>
    </row>
    <row r="367" spans="1:8" ht="15">
      <c r="A367" s="161"/>
      <c r="B367" s="884" t="s">
        <v>1165</v>
      </c>
      <c r="C367" s="886"/>
      <c r="D367" s="1021"/>
      <c r="E367" s="1021"/>
      <c r="F367" s="1000"/>
      <c r="G367" s="967"/>
      <c r="H367" s="926"/>
    </row>
    <row r="368" spans="1:8">
      <c r="A368" s="161">
        <v>8</v>
      </c>
      <c r="B368" s="968" t="s">
        <v>1231</v>
      </c>
      <c r="C368" s="886"/>
      <c r="D368" s="1000"/>
      <c r="E368" s="947"/>
      <c r="F368" s="1000"/>
      <c r="G368" s="908"/>
      <c r="H368" s="900"/>
    </row>
    <row r="369" spans="1:8">
      <c r="A369" s="161"/>
      <c r="B369" s="936" t="s">
        <v>1051</v>
      </c>
      <c r="C369" s="899"/>
      <c r="D369" s="947"/>
      <c r="E369" s="947"/>
      <c r="F369" s="947"/>
      <c r="G369" s="886"/>
      <c r="H369" s="900"/>
    </row>
    <row r="370" spans="1:8">
      <c r="A370" s="161"/>
      <c r="B370" s="855" t="s">
        <v>1232</v>
      </c>
      <c r="C370" s="925">
        <v>2</v>
      </c>
      <c r="D370" s="925">
        <f>2*(2.15+1.5)</f>
        <v>7.3</v>
      </c>
      <c r="E370" s="925"/>
      <c r="F370" s="925">
        <v>2.1</v>
      </c>
      <c r="G370" s="925">
        <f>F370*D370*C370</f>
        <v>30.66</v>
      </c>
    </row>
    <row r="371" spans="1:8">
      <c r="A371" s="161"/>
      <c r="B371" s="855" t="s">
        <v>1354</v>
      </c>
      <c r="C371" s="925">
        <v>2</v>
      </c>
      <c r="D371" s="925">
        <f>2*(1.35+1.65)</f>
        <v>6</v>
      </c>
      <c r="E371" s="925"/>
      <c r="F371" s="925">
        <v>2.1</v>
      </c>
      <c r="G371" s="925">
        <f>F371*D371*C371</f>
        <v>25.200000000000003</v>
      </c>
    </row>
    <row r="372" spans="1:8">
      <c r="A372" s="161"/>
      <c r="B372" s="855" t="s">
        <v>1433</v>
      </c>
      <c r="C372" s="925">
        <v>2</v>
      </c>
      <c r="D372" s="925">
        <f>+(1.8+2.4)*2</f>
        <v>8.4</v>
      </c>
      <c r="E372" s="925"/>
      <c r="F372" s="925">
        <v>0.75</v>
      </c>
      <c r="G372" s="925">
        <f>F372*D372*C372</f>
        <v>12.600000000000001</v>
      </c>
    </row>
    <row r="373" spans="1:8">
      <c r="A373" s="161"/>
      <c r="B373" s="886"/>
      <c r="C373" s="899"/>
      <c r="D373" s="947"/>
      <c r="E373" s="947"/>
      <c r="F373" s="947"/>
      <c r="G373" s="927">
        <f>SUM(G370:G372)</f>
        <v>68.460000000000008</v>
      </c>
      <c r="H373" s="900"/>
    </row>
    <row r="374" spans="1:8">
      <c r="A374" s="161"/>
      <c r="B374" s="886" t="s">
        <v>1021</v>
      </c>
      <c r="C374" s="899"/>
      <c r="D374" s="947"/>
      <c r="E374" s="947"/>
      <c r="F374" s="947"/>
      <c r="G374" s="886"/>
      <c r="H374" s="900"/>
    </row>
    <row r="375" spans="1:8">
      <c r="A375" s="161"/>
      <c r="B375" s="855" t="s">
        <v>1359</v>
      </c>
      <c r="C375" s="899">
        <v>3</v>
      </c>
      <c r="D375" s="947">
        <v>0.75</v>
      </c>
      <c r="E375" s="947"/>
      <c r="F375" s="947">
        <v>2.1</v>
      </c>
      <c r="G375" s="927">
        <f>F375*D375*C375</f>
        <v>4.7250000000000005</v>
      </c>
      <c r="H375" s="900"/>
    </row>
    <row r="376" spans="1:8">
      <c r="A376" s="161"/>
      <c r="B376" s="855"/>
      <c r="C376" s="899">
        <v>1</v>
      </c>
      <c r="D376" s="947">
        <v>0.75</v>
      </c>
      <c r="E376" s="947"/>
      <c r="F376" s="947">
        <v>0.75</v>
      </c>
      <c r="G376" s="927">
        <f>F376*D376*C376</f>
        <v>0.5625</v>
      </c>
      <c r="H376" s="900"/>
    </row>
    <row r="377" spans="1:8">
      <c r="A377" s="161"/>
      <c r="B377" s="886" t="s">
        <v>648</v>
      </c>
      <c r="C377" s="899">
        <v>4</v>
      </c>
      <c r="D377" s="947">
        <v>0.6</v>
      </c>
      <c r="E377" s="947"/>
      <c r="F377" s="947">
        <f>2*0.3</f>
        <v>0.6</v>
      </c>
      <c r="G377" s="927">
        <f>F377*D377*C377</f>
        <v>1.44</v>
      </c>
      <c r="H377" s="900"/>
    </row>
    <row r="378" spans="1:8">
      <c r="A378" s="161"/>
      <c r="B378" s="886"/>
      <c r="C378" s="899"/>
      <c r="D378" s="947"/>
      <c r="E378" s="947"/>
      <c r="F378" s="947"/>
      <c r="G378" s="927">
        <f>SUM(G375:G377)</f>
        <v>6.7275000000000009</v>
      </c>
      <c r="H378" s="900"/>
    </row>
    <row r="379" spans="1:8">
      <c r="A379" s="161"/>
      <c r="B379" s="886"/>
      <c r="C379" s="899"/>
      <c r="D379" s="947"/>
      <c r="E379" s="947"/>
      <c r="F379" s="947"/>
      <c r="G379" s="927">
        <f>G373-G378</f>
        <v>61.732500000000009</v>
      </c>
      <c r="H379" s="900"/>
    </row>
    <row r="380" spans="1:8">
      <c r="A380" s="161"/>
      <c r="B380" s="886"/>
      <c r="C380" s="899"/>
      <c r="D380" s="947"/>
      <c r="E380" s="947"/>
      <c r="F380" s="947"/>
      <c r="G380" s="889">
        <f>G379*10%</f>
        <v>6.1732500000000012</v>
      </c>
      <c r="H380" s="900"/>
    </row>
    <row r="381" spans="1:8">
      <c r="A381" s="161"/>
      <c r="B381" s="886"/>
      <c r="C381" s="886"/>
      <c r="D381" s="1000"/>
      <c r="E381" s="947"/>
      <c r="F381" s="1000"/>
      <c r="G381" s="894">
        <f>G380+G379</f>
        <v>67.905750000000012</v>
      </c>
      <c r="H381" s="926" t="s">
        <v>32</v>
      </c>
    </row>
    <row r="382" spans="1:8">
      <c r="A382" s="161"/>
      <c r="B382" s="855" t="s">
        <v>1214</v>
      </c>
      <c r="C382" s="886"/>
      <c r="D382" s="1000"/>
      <c r="E382" s="947"/>
      <c r="F382" s="1000"/>
      <c r="G382" s="894"/>
      <c r="H382" s="926"/>
    </row>
    <row r="383" spans="1:8">
      <c r="A383" s="161"/>
      <c r="B383" s="855" t="s">
        <v>1232</v>
      </c>
      <c r="C383" s="925">
        <v>2</v>
      </c>
      <c r="D383" s="925">
        <f>2*(2.15+1.5)</f>
        <v>7.3</v>
      </c>
      <c r="E383" s="925"/>
      <c r="F383" s="925">
        <v>2.1</v>
      </c>
      <c r="G383" s="925">
        <f>F383*D383*C383</f>
        <v>30.66</v>
      </c>
    </row>
    <row r="384" spans="1:8">
      <c r="A384" s="161"/>
      <c r="B384" s="855" t="s">
        <v>1354</v>
      </c>
      <c r="C384" s="925">
        <v>2</v>
      </c>
      <c r="D384" s="925">
        <f>2*(1.35+1.65)</f>
        <v>6</v>
      </c>
      <c r="E384" s="925"/>
      <c r="F384" s="925">
        <v>2.1</v>
      </c>
      <c r="G384" s="925">
        <f>F384*D384*C384</f>
        <v>25.200000000000003</v>
      </c>
    </row>
    <row r="385" spans="1:8">
      <c r="A385" s="161"/>
      <c r="B385" s="855" t="s">
        <v>1433</v>
      </c>
      <c r="C385" s="925">
        <v>2</v>
      </c>
      <c r="D385" s="925">
        <f>+(1.8+2.4)*2</f>
        <v>8.4</v>
      </c>
      <c r="E385" s="925"/>
      <c r="F385" s="925">
        <v>2.1</v>
      </c>
      <c r="G385" s="925">
        <f>F385*D385*C385</f>
        <v>35.28</v>
      </c>
    </row>
    <row r="386" spans="1:8">
      <c r="A386" s="161"/>
      <c r="B386" s="886"/>
      <c r="C386" s="899"/>
      <c r="D386" s="947"/>
      <c r="E386" s="947"/>
      <c r="F386" s="947"/>
      <c r="G386" s="927">
        <f>SUM(G383:G385)</f>
        <v>91.14</v>
      </c>
      <c r="H386" s="900"/>
    </row>
    <row r="387" spans="1:8">
      <c r="A387" s="161"/>
      <c r="B387" s="886" t="s">
        <v>1021</v>
      </c>
      <c r="C387" s="899"/>
      <c r="D387" s="947"/>
      <c r="E387" s="947"/>
      <c r="F387" s="947"/>
      <c r="G387" s="886"/>
      <c r="H387" s="900"/>
    </row>
    <row r="388" spans="1:8">
      <c r="A388" s="161"/>
      <c r="B388" s="855" t="s">
        <v>1359</v>
      </c>
      <c r="C388" s="899">
        <v>4</v>
      </c>
      <c r="D388" s="947">
        <v>0.75</v>
      </c>
      <c r="E388" s="947"/>
      <c r="F388" s="947">
        <v>2.1</v>
      </c>
      <c r="G388" s="927">
        <f>F388*D388*C388</f>
        <v>6.3000000000000007</v>
      </c>
      <c r="H388" s="900"/>
    </row>
    <row r="389" spans="1:8">
      <c r="A389" s="161"/>
      <c r="B389" s="886" t="s">
        <v>648</v>
      </c>
      <c r="C389" s="899">
        <v>4</v>
      </c>
      <c r="D389" s="947">
        <v>0.6</v>
      </c>
      <c r="E389" s="947"/>
      <c r="F389" s="947">
        <f>2*0.3</f>
        <v>0.6</v>
      </c>
      <c r="G389" s="927">
        <f>F389*D389*C389</f>
        <v>1.44</v>
      </c>
      <c r="H389" s="900"/>
    </row>
    <row r="390" spans="1:8">
      <c r="A390" s="161"/>
      <c r="B390" s="886"/>
      <c r="C390" s="899"/>
      <c r="D390" s="947"/>
      <c r="E390" s="947"/>
      <c r="F390" s="947"/>
      <c r="G390" s="927">
        <f>SUM(G388:G389)</f>
        <v>7.74</v>
      </c>
      <c r="H390" s="900"/>
    </row>
    <row r="391" spans="1:8">
      <c r="A391" s="161"/>
      <c r="B391" s="886"/>
      <c r="C391" s="899"/>
      <c r="D391" s="947"/>
      <c r="E391" s="947"/>
      <c r="F391" s="947"/>
      <c r="G391" s="927">
        <f>G386-G390</f>
        <v>83.4</v>
      </c>
      <c r="H391" s="900"/>
    </row>
    <row r="392" spans="1:8">
      <c r="A392" s="161"/>
      <c r="B392" s="886"/>
      <c r="C392" s="899"/>
      <c r="D392" s="947"/>
      <c r="E392" s="947"/>
      <c r="F392" s="947"/>
      <c r="G392" s="889">
        <f>G391*10%</f>
        <v>8.3400000000000016</v>
      </c>
      <c r="H392" s="900"/>
    </row>
    <row r="393" spans="1:8">
      <c r="A393" s="161"/>
      <c r="B393" s="886"/>
      <c r="C393" s="886"/>
      <c r="D393" s="1000"/>
      <c r="E393" s="947"/>
      <c r="F393" s="1000"/>
      <c r="G393" s="894">
        <f>G392+G391</f>
        <v>91.740000000000009</v>
      </c>
      <c r="H393" s="926" t="s">
        <v>32</v>
      </c>
    </row>
    <row r="394" spans="1:8">
      <c r="A394" s="161">
        <v>9</v>
      </c>
      <c r="B394" s="968" t="s">
        <v>1233</v>
      </c>
      <c r="C394" s="886"/>
      <c r="D394" s="1021"/>
      <c r="E394" s="1021"/>
      <c r="F394" s="1000"/>
      <c r="G394" s="974"/>
      <c r="H394" s="926"/>
    </row>
    <row r="395" spans="1:8">
      <c r="A395" s="161"/>
      <c r="B395" s="936" t="s">
        <v>1051</v>
      </c>
      <c r="C395" s="886"/>
      <c r="D395" s="1021"/>
      <c r="E395" s="1021"/>
      <c r="F395" s="1000"/>
      <c r="G395" s="974"/>
      <c r="H395" s="926"/>
    </row>
    <row r="396" spans="1:8">
      <c r="A396" s="886"/>
      <c r="B396" s="855" t="s">
        <v>1232</v>
      </c>
      <c r="C396" s="910">
        <v>2</v>
      </c>
      <c r="D396" s="910">
        <v>2.15</v>
      </c>
      <c r="E396" s="910">
        <v>1.5</v>
      </c>
      <c r="F396" s="910"/>
      <c r="G396" s="910">
        <f>E396*D396*C396</f>
        <v>6.4499999999999993</v>
      </c>
      <c r="H396" s="926"/>
    </row>
    <row r="397" spans="1:8">
      <c r="A397" s="886"/>
      <c r="B397" s="855" t="s">
        <v>1450</v>
      </c>
      <c r="C397" s="898">
        <v>2</v>
      </c>
      <c r="D397" s="889">
        <v>1.35</v>
      </c>
      <c r="E397" s="889">
        <v>1.65</v>
      </c>
      <c r="F397" s="946"/>
      <c r="G397" s="910">
        <f>E397*D397*C397</f>
        <v>4.4550000000000001</v>
      </c>
      <c r="H397" s="926"/>
    </row>
    <row r="398" spans="1:8">
      <c r="A398" s="161"/>
      <c r="B398" s="886"/>
      <c r="C398" s="899"/>
      <c r="D398" s="947"/>
      <c r="E398" s="947"/>
      <c r="F398" s="1000"/>
      <c r="G398" s="863">
        <f>SUM(G396:G397)</f>
        <v>10.904999999999999</v>
      </c>
      <c r="H398" s="898"/>
    </row>
    <row r="399" spans="1:8">
      <c r="A399" s="161"/>
      <c r="B399" s="886"/>
      <c r="C399" s="899"/>
      <c r="D399" s="947"/>
      <c r="E399" s="947"/>
      <c r="F399" s="1000"/>
      <c r="G399" s="889">
        <f>G398*10%</f>
        <v>1.0905</v>
      </c>
      <c r="H399" s="898"/>
    </row>
    <row r="400" spans="1:8">
      <c r="A400" s="161"/>
      <c r="B400" s="886"/>
      <c r="C400" s="886"/>
      <c r="D400" s="890"/>
      <c r="E400" s="890"/>
      <c r="F400" s="1001"/>
      <c r="G400" s="894">
        <f>G399+G398</f>
        <v>11.9955</v>
      </c>
      <c r="H400" s="877" t="s">
        <v>32</v>
      </c>
    </row>
    <row r="401" spans="1:8">
      <c r="A401" s="161"/>
      <c r="B401" s="936" t="s">
        <v>1214</v>
      </c>
      <c r="C401" s="886"/>
      <c r="D401" s="1021"/>
      <c r="E401" s="1021"/>
      <c r="F401" s="1000"/>
      <c r="G401" s="974"/>
      <c r="H401" s="926"/>
    </row>
    <row r="402" spans="1:8">
      <c r="A402" s="161"/>
      <c r="B402" s="855" t="s">
        <v>1232</v>
      </c>
      <c r="C402" s="910">
        <v>2</v>
      </c>
      <c r="D402" s="910">
        <v>2.15</v>
      </c>
      <c r="E402" s="910">
        <v>1.5</v>
      </c>
      <c r="F402" s="910"/>
      <c r="G402" s="910">
        <f>E402*D402*C402</f>
        <v>6.4499999999999993</v>
      </c>
      <c r="H402" s="926"/>
    </row>
    <row r="403" spans="1:8">
      <c r="A403" s="161"/>
      <c r="B403" s="855" t="s">
        <v>1450</v>
      </c>
      <c r="C403" s="898">
        <v>2</v>
      </c>
      <c r="D403" s="889">
        <v>1.35</v>
      </c>
      <c r="E403" s="889">
        <v>1.65</v>
      </c>
      <c r="F403" s="946"/>
      <c r="G403" s="910">
        <f>E403*D403*C403</f>
        <v>4.4550000000000001</v>
      </c>
      <c r="H403" s="926"/>
    </row>
    <row r="404" spans="1:8">
      <c r="A404" s="161"/>
      <c r="B404" s="886"/>
      <c r="C404" s="899"/>
      <c r="D404" s="947"/>
      <c r="E404" s="947"/>
      <c r="F404" s="1000"/>
      <c r="G404" s="863">
        <f>SUM(G402:G403)</f>
        <v>10.904999999999999</v>
      </c>
      <c r="H404" s="898"/>
    </row>
    <row r="405" spans="1:8">
      <c r="A405" s="161"/>
      <c r="B405" s="886"/>
      <c r="C405" s="899"/>
      <c r="D405" s="947"/>
      <c r="E405" s="947"/>
      <c r="F405" s="1000"/>
      <c r="G405" s="889">
        <f>G404*10%</f>
        <v>1.0905</v>
      </c>
      <c r="H405" s="898"/>
    </row>
    <row r="406" spans="1:8">
      <c r="A406" s="161"/>
      <c r="B406" s="886"/>
      <c r="C406" s="886"/>
      <c r="D406" s="890"/>
      <c r="E406" s="890"/>
      <c r="F406" s="1001"/>
      <c r="G406" s="894">
        <f>G405+G404</f>
        <v>11.9955</v>
      </c>
      <c r="H406" s="877" t="s">
        <v>32</v>
      </c>
    </row>
    <row r="407" spans="1:8" ht="25.5">
      <c r="A407" s="161">
        <v>10</v>
      </c>
      <c r="B407" s="1025" t="s">
        <v>1313</v>
      </c>
      <c r="C407" s="886"/>
      <c r="D407" s="1000"/>
      <c r="E407" s="947"/>
      <c r="F407" s="1000"/>
      <c r="G407" s="974"/>
      <c r="H407" s="926"/>
    </row>
    <row r="408" spans="1:8">
      <c r="A408" s="161"/>
      <c r="B408" s="1026" t="s">
        <v>1051</v>
      </c>
      <c r="C408" s="886"/>
      <c r="D408" s="1000"/>
      <c r="E408" s="947"/>
      <c r="F408" s="1000"/>
      <c r="G408" s="974"/>
      <c r="H408" s="926"/>
    </row>
    <row r="409" spans="1:8">
      <c r="A409" s="161"/>
      <c r="B409" s="1026" t="s">
        <v>1435</v>
      </c>
      <c r="C409" s="860">
        <v>2</v>
      </c>
      <c r="D409" s="889">
        <v>3.3</v>
      </c>
      <c r="E409" s="889">
        <v>3.6</v>
      </c>
      <c r="F409" s="889"/>
      <c r="G409" s="869">
        <f t="shared" ref="G409:G414" si="19">E409*D409*C409</f>
        <v>23.759999999999998</v>
      </c>
      <c r="H409" s="926"/>
    </row>
    <row r="410" spans="1:8">
      <c r="A410" s="161"/>
      <c r="B410" s="1026" t="s">
        <v>1451</v>
      </c>
      <c r="C410" s="860">
        <v>2</v>
      </c>
      <c r="D410" s="889">
        <v>3.15</v>
      </c>
      <c r="E410" s="889">
        <v>4.8</v>
      </c>
      <c r="F410" s="889"/>
      <c r="G410" s="869">
        <f t="shared" si="19"/>
        <v>30.24</v>
      </c>
      <c r="H410" s="926"/>
    </row>
    <row r="411" spans="1:8">
      <c r="A411" s="161"/>
      <c r="B411" s="1026" t="s">
        <v>1435</v>
      </c>
      <c r="C411" s="860">
        <v>2</v>
      </c>
      <c r="D411" s="889">
        <v>3.42</v>
      </c>
      <c r="E411" s="889">
        <v>3.3</v>
      </c>
      <c r="F411" s="889"/>
      <c r="G411" s="869">
        <f t="shared" si="19"/>
        <v>22.571999999999999</v>
      </c>
      <c r="H411" s="926"/>
    </row>
    <row r="412" spans="1:8">
      <c r="A412" s="161"/>
      <c r="B412" s="1026" t="s">
        <v>1433</v>
      </c>
      <c r="C412" s="860">
        <v>2</v>
      </c>
      <c r="D412" s="889">
        <v>1.8</v>
      </c>
      <c r="E412" s="889">
        <v>2.4</v>
      </c>
      <c r="F412" s="889"/>
      <c r="G412" s="869">
        <f t="shared" si="19"/>
        <v>8.64</v>
      </c>
      <c r="H412" s="926"/>
    </row>
    <row r="413" spans="1:8">
      <c r="A413" s="161"/>
      <c r="B413" s="1026" t="s">
        <v>561</v>
      </c>
      <c r="C413" s="860">
        <v>19</v>
      </c>
      <c r="D413" s="889">
        <v>1</v>
      </c>
      <c r="E413" s="890">
        <v>0.25</v>
      </c>
      <c r="F413" s="1001"/>
      <c r="G413" s="869">
        <f t="shared" si="19"/>
        <v>4.75</v>
      </c>
      <c r="H413" s="926"/>
    </row>
    <row r="414" spans="1:8">
      <c r="A414" s="161"/>
      <c r="B414" s="1026" t="s">
        <v>1452</v>
      </c>
      <c r="C414" s="860">
        <v>1</v>
      </c>
      <c r="D414" s="889">
        <v>2.23</v>
      </c>
      <c r="E414" s="890">
        <v>0.82</v>
      </c>
      <c r="F414" s="1001"/>
      <c r="G414" s="863">
        <f t="shared" si="19"/>
        <v>1.8285999999999998</v>
      </c>
      <c r="H414" s="926"/>
    </row>
    <row r="415" spans="1:8">
      <c r="A415" s="161"/>
      <c r="B415" s="855"/>
      <c r="C415" s="899"/>
      <c r="D415" s="947"/>
      <c r="E415" s="947"/>
      <c r="F415" s="1000"/>
      <c r="G415" s="935">
        <f>SUM(G409:G414)</f>
        <v>91.790599999999998</v>
      </c>
      <c r="H415" s="926"/>
    </row>
    <row r="416" spans="1:8">
      <c r="A416" s="161"/>
      <c r="B416" s="855"/>
      <c r="C416" s="899"/>
      <c r="D416" s="947"/>
      <c r="E416" s="947"/>
      <c r="F416" s="1000"/>
      <c r="G416" s="863">
        <f>G415*10%</f>
        <v>9.1790599999999998</v>
      </c>
      <c r="H416" s="926"/>
    </row>
    <row r="417" spans="1:8">
      <c r="A417" s="161"/>
      <c r="B417" s="855"/>
      <c r="C417" s="886"/>
      <c r="D417" s="1000"/>
      <c r="E417" s="947"/>
      <c r="F417" s="1000"/>
      <c r="G417" s="944">
        <f>G416+G415</f>
        <v>100.96966</v>
      </c>
      <c r="H417" s="855" t="s">
        <v>32</v>
      </c>
    </row>
    <row r="418" spans="1:8" ht="15">
      <c r="A418" s="161"/>
      <c r="B418" s="855" t="s">
        <v>1214</v>
      </c>
      <c r="C418" s="886"/>
      <c r="D418" s="1000"/>
      <c r="E418" s="947"/>
      <c r="F418" s="1000"/>
      <c r="G418" s="967"/>
      <c r="H418" s="926"/>
    </row>
    <row r="419" spans="1:8">
      <c r="A419" s="161"/>
      <c r="B419" s="1026" t="s">
        <v>1435</v>
      </c>
      <c r="C419" s="860">
        <v>2</v>
      </c>
      <c r="D419" s="889">
        <v>3.3</v>
      </c>
      <c r="E419" s="889">
        <v>3.6</v>
      </c>
      <c r="F419" s="889"/>
      <c r="G419" s="869">
        <f>E419*D419*C419</f>
        <v>23.759999999999998</v>
      </c>
      <c r="H419" s="926"/>
    </row>
    <row r="420" spans="1:8">
      <c r="A420" s="161"/>
      <c r="B420" s="1026" t="s">
        <v>1451</v>
      </c>
      <c r="C420" s="860">
        <v>2</v>
      </c>
      <c r="D420" s="889">
        <v>3.15</v>
      </c>
      <c r="E420" s="889">
        <v>4.8</v>
      </c>
      <c r="F420" s="889"/>
      <c r="G420" s="869">
        <f t="shared" ref="G420:G426" si="20">E420*D420*C420</f>
        <v>30.24</v>
      </c>
      <c r="H420" s="926"/>
    </row>
    <row r="421" spans="1:8">
      <c r="A421" s="161"/>
      <c r="B421" s="1026" t="s">
        <v>1435</v>
      </c>
      <c r="C421" s="860">
        <v>2</v>
      </c>
      <c r="D421" s="889">
        <v>3.42</v>
      </c>
      <c r="E421" s="889">
        <v>3.3</v>
      </c>
      <c r="F421" s="889"/>
      <c r="G421" s="869">
        <f t="shared" si="20"/>
        <v>22.571999999999999</v>
      </c>
      <c r="H421" s="926"/>
    </row>
    <row r="422" spans="1:8">
      <c r="A422" s="161"/>
      <c r="B422" s="1026" t="s">
        <v>1433</v>
      </c>
      <c r="C422" s="860">
        <v>2</v>
      </c>
      <c r="D422" s="889">
        <v>1.8</v>
      </c>
      <c r="E422" s="889">
        <v>2.4</v>
      </c>
      <c r="F422" s="889"/>
      <c r="G422" s="869">
        <f t="shared" si="20"/>
        <v>8.64</v>
      </c>
      <c r="H422" s="926"/>
    </row>
    <row r="423" spans="1:8">
      <c r="A423" s="161"/>
      <c r="B423" s="1026" t="s">
        <v>561</v>
      </c>
      <c r="C423" s="860">
        <v>19</v>
      </c>
      <c r="D423" s="889">
        <v>1</v>
      </c>
      <c r="E423" s="890">
        <v>0.25</v>
      </c>
      <c r="F423" s="1001"/>
      <c r="G423" s="869">
        <f t="shared" si="20"/>
        <v>4.75</v>
      </c>
      <c r="H423" s="926"/>
    </row>
    <row r="424" spans="1:8">
      <c r="A424" s="161"/>
      <c r="B424" s="1026" t="s">
        <v>1452</v>
      </c>
      <c r="C424" s="860">
        <v>1</v>
      </c>
      <c r="D424" s="889">
        <v>2.23</v>
      </c>
      <c r="E424" s="890">
        <v>0.82</v>
      </c>
      <c r="F424" s="1001"/>
      <c r="G424" s="863">
        <f t="shared" si="20"/>
        <v>1.8285999999999998</v>
      </c>
      <c r="H424" s="926"/>
    </row>
    <row r="425" spans="1:8">
      <c r="A425" s="161"/>
      <c r="B425" s="1026" t="s">
        <v>1453</v>
      </c>
      <c r="C425" s="860">
        <v>2</v>
      </c>
      <c r="D425" s="889">
        <v>2.17</v>
      </c>
      <c r="E425" s="890">
        <v>0.85</v>
      </c>
      <c r="F425" s="1001"/>
      <c r="G425" s="863">
        <f t="shared" si="20"/>
        <v>3.6889999999999996</v>
      </c>
      <c r="H425" s="926"/>
    </row>
    <row r="426" spans="1:8">
      <c r="A426" s="161"/>
      <c r="B426" s="1026"/>
      <c r="C426" s="860">
        <v>2</v>
      </c>
      <c r="D426" s="889">
        <v>2.17</v>
      </c>
      <c r="E426" s="890">
        <v>1.1499999999999999</v>
      </c>
      <c r="F426" s="1001"/>
      <c r="G426" s="863">
        <f t="shared" si="20"/>
        <v>4.9909999999999997</v>
      </c>
      <c r="H426" s="926"/>
    </row>
    <row r="427" spans="1:8">
      <c r="A427" s="161"/>
      <c r="B427" s="855"/>
      <c r="C427" s="899"/>
      <c r="D427" s="947"/>
      <c r="E427" s="947"/>
      <c r="F427" s="1000"/>
      <c r="G427" s="927">
        <f>SUM(G419:G426)</f>
        <v>100.47059999999999</v>
      </c>
      <c r="H427" s="926"/>
    </row>
    <row r="428" spans="1:8">
      <c r="A428" s="161"/>
      <c r="B428" s="855"/>
      <c r="C428" s="899"/>
      <c r="D428" s="947"/>
      <c r="E428" s="947"/>
      <c r="F428" s="1000"/>
      <c r="G428" s="889">
        <f>G427*10%</f>
        <v>10.04706</v>
      </c>
      <c r="H428" s="926"/>
    </row>
    <row r="429" spans="1:8">
      <c r="A429" s="161"/>
      <c r="B429" s="886"/>
      <c r="C429" s="886"/>
      <c r="D429" s="1000"/>
      <c r="E429" s="947"/>
      <c r="F429" s="1000"/>
      <c r="G429" s="894">
        <f>G428+G427</f>
        <v>110.51765999999999</v>
      </c>
      <c r="H429" s="926" t="s">
        <v>32</v>
      </c>
    </row>
    <row r="430" spans="1:8">
      <c r="A430" s="161">
        <v>11</v>
      </c>
      <c r="B430" s="884" t="s">
        <v>1368</v>
      </c>
      <c r="C430" s="886"/>
      <c r="D430" s="1000"/>
      <c r="E430" s="947"/>
      <c r="F430" s="1000"/>
      <c r="G430" s="908"/>
      <c r="H430" s="900"/>
    </row>
    <row r="431" spans="1:8">
      <c r="A431" s="161"/>
      <c r="B431" s="936" t="s">
        <v>1051</v>
      </c>
      <c r="C431" s="886"/>
      <c r="D431" s="1000"/>
      <c r="E431" s="947"/>
      <c r="F431" s="1000"/>
      <c r="G431" s="908"/>
      <c r="H431" s="900"/>
    </row>
    <row r="432" spans="1:8">
      <c r="A432" s="161"/>
      <c r="B432" s="936" t="s">
        <v>1435</v>
      </c>
      <c r="C432" s="898">
        <v>2</v>
      </c>
      <c r="D432" s="946">
        <f>+(3.3+3.6)*2</f>
        <v>13.8</v>
      </c>
      <c r="E432" s="946"/>
      <c r="F432" s="946">
        <v>2.875</v>
      </c>
      <c r="G432" s="946">
        <f>F432*D432*C432</f>
        <v>79.350000000000009</v>
      </c>
      <c r="H432" s="900"/>
    </row>
    <row r="433" spans="1:8">
      <c r="A433" s="161"/>
      <c r="B433" s="936" t="s">
        <v>1454</v>
      </c>
      <c r="C433" s="898">
        <v>2</v>
      </c>
      <c r="D433" s="946">
        <v>3.9</v>
      </c>
      <c r="E433" s="946"/>
      <c r="F433" s="946">
        <v>2.875</v>
      </c>
      <c r="G433" s="946">
        <f>F433*D433*C433</f>
        <v>22.425000000000001</v>
      </c>
      <c r="H433" s="900"/>
    </row>
    <row r="434" spans="1:8">
      <c r="A434" s="161"/>
      <c r="B434" s="936"/>
      <c r="C434" s="898">
        <v>2</v>
      </c>
      <c r="D434" s="946">
        <v>3.15</v>
      </c>
      <c r="E434" s="946"/>
      <c r="F434" s="946">
        <v>2.875</v>
      </c>
      <c r="G434" s="946">
        <f t="shared" ref="G434:G447" si="21">F434*D434*C434</f>
        <v>18.112500000000001</v>
      </c>
      <c r="H434" s="900"/>
    </row>
    <row r="435" spans="1:8">
      <c r="A435" s="161"/>
      <c r="B435" s="936"/>
      <c r="C435" s="898">
        <v>2</v>
      </c>
      <c r="D435" s="946">
        <v>5.03</v>
      </c>
      <c r="E435" s="946"/>
      <c r="F435" s="946">
        <v>2.875</v>
      </c>
      <c r="G435" s="946">
        <f>F435*D435*C435</f>
        <v>28.922500000000003</v>
      </c>
      <c r="H435" s="900"/>
    </row>
    <row r="436" spans="1:8">
      <c r="A436" s="161"/>
      <c r="B436" s="936" t="s">
        <v>1455</v>
      </c>
      <c r="C436" s="898">
        <v>2</v>
      </c>
      <c r="D436" s="946">
        <v>1.58</v>
      </c>
      <c r="E436" s="947"/>
      <c r="F436" s="946">
        <v>2.875</v>
      </c>
      <c r="G436" s="946">
        <f t="shared" si="21"/>
        <v>9.0850000000000009</v>
      </c>
      <c r="H436" s="900"/>
    </row>
    <row r="437" spans="1:8">
      <c r="A437" s="161"/>
      <c r="B437" s="936"/>
      <c r="C437" s="898">
        <v>2</v>
      </c>
      <c r="D437" s="946">
        <v>1.01</v>
      </c>
      <c r="E437" s="947"/>
      <c r="F437" s="946">
        <v>2.875</v>
      </c>
      <c r="G437" s="946">
        <f t="shared" si="21"/>
        <v>5.8075000000000001</v>
      </c>
      <c r="H437" s="900"/>
    </row>
    <row r="438" spans="1:8">
      <c r="A438" s="161"/>
      <c r="B438" s="936"/>
      <c r="C438" s="898">
        <v>2</v>
      </c>
      <c r="D438" s="946">
        <v>0.9</v>
      </c>
      <c r="E438" s="947"/>
      <c r="F438" s="946">
        <v>2.875</v>
      </c>
      <c r="G438" s="946">
        <f t="shared" si="21"/>
        <v>5.1749999999999998</v>
      </c>
      <c r="H438" s="900"/>
    </row>
    <row r="439" spans="1:8">
      <c r="A439" s="161"/>
      <c r="B439" s="936" t="s">
        <v>1456</v>
      </c>
      <c r="C439" s="898">
        <v>2</v>
      </c>
      <c r="D439" s="947">
        <v>2.145</v>
      </c>
      <c r="E439" s="947"/>
      <c r="F439" s="946">
        <v>2.875</v>
      </c>
      <c r="G439" s="946">
        <f t="shared" si="21"/>
        <v>12.33375</v>
      </c>
      <c r="H439" s="900"/>
    </row>
    <row r="440" spans="1:8">
      <c r="A440" s="161"/>
      <c r="B440" s="936" t="s">
        <v>1435</v>
      </c>
      <c r="C440" s="898">
        <v>2</v>
      </c>
      <c r="D440" s="946">
        <v>3.42</v>
      </c>
      <c r="E440" s="946"/>
      <c r="F440" s="946">
        <v>2.875</v>
      </c>
      <c r="G440" s="946">
        <f t="shared" si="21"/>
        <v>19.664999999999999</v>
      </c>
      <c r="H440" s="900"/>
    </row>
    <row r="441" spans="1:8">
      <c r="A441" s="161"/>
      <c r="B441" s="936"/>
      <c r="C441" s="898">
        <v>2</v>
      </c>
      <c r="D441" s="946">
        <v>3.9</v>
      </c>
      <c r="E441" s="946"/>
      <c r="F441" s="946">
        <v>2.875</v>
      </c>
      <c r="G441" s="946">
        <f t="shared" si="21"/>
        <v>22.425000000000001</v>
      </c>
      <c r="H441" s="900"/>
    </row>
    <row r="442" spans="1:8">
      <c r="A442" s="161"/>
      <c r="B442" s="936"/>
      <c r="C442" s="898">
        <v>2</v>
      </c>
      <c r="D442" s="946">
        <v>1.2</v>
      </c>
      <c r="E442" s="946"/>
      <c r="F442" s="946">
        <v>2.875</v>
      </c>
      <c r="G442" s="946">
        <f t="shared" si="21"/>
        <v>6.8999999999999995</v>
      </c>
      <c r="H442" s="900"/>
    </row>
    <row r="443" spans="1:8">
      <c r="A443" s="161"/>
      <c r="B443" s="936"/>
      <c r="C443" s="898">
        <v>2</v>
      </c>
      <c r="D443" s="946">
        <v>0.6</v>
      </c>
      <c r="E443" s="946"/>
      <c r="F443" s="946">
        <v>2.875</v>
      </c>
      <c r="G443" s="946">
        <f t="shared" si="21"/>
        <v>3.4499999999999997</v>
      </c>
      <c r="H443" s="900"/>
    </row>
    <row r="444" spans="1:8">
      <c r="A444" s="161"/>
      <c r="B444" s="936"/>
      <c r="C444" s="898">
        <v>2</v>
      </c>
      <c r="D444" s="946">
        <v>0.25</v>
      </c>
      <c r="E444" s="946"/>
      <c r="F444" s="946">
        <v>2.875</v>
      </c>
      <c r="G444" s="946">
        <f t="shared" si="21"/>
        <v>1.4375</v>
      </c>
      <c r="H444" s="900"/>
    </row>
    <row r="445" spans="1:8">
      <c r="A445" s="161"/>
      <c r="B445" s="936"/>
      <c r="C445" s="898">
        <v>2</v>
      </c>
      <c r="D445" s="946">
        <v>2</v>
      </c>
      <c r="E445" s="946"/>
      <c r="F445" s="946">
        <v>2.875</v>
      </c>
      <c r="G445" s="946">
        <f t="shared" si="21"/>
        <v>11.5</v>
      </c>
      <c r="H445" s="900"/>
    </row>
    <row r="446" spans="1:8">
      <c r="A446" s="161"/>
      <c r="B446" s="936"/>
      <c r="C446" s="898">
        <v>2</v>
      </c>
      <c r="D446" s="946">
        <v>3.6920000000000002</v>
      </c>
      <c r="E446" s="946"/>
      <c r="F446" s="946">
        <v>2.875</v>
      </c>
      <c r="G446" s="946">
        <f t="shared" si="21"/>
        <v>21.228999999999999</v>
      </c>
      <c r="H446" s="900"/>
    </row>
    <row r="447" spans="1:8">
      <c r="A447" s="161"/>
      <c r="B447" s="936" t="s">
        <v>1457</v>
      </c>
      <c r="C447" s="898">
        <v>2</v>
      </c>
      <c r="D447" s="946">
        <v>2.23</v>
      </c>
      <c r="E447" s="946"/>
      <c r="F447" s="946">
        <v>2.875</v>
      </c>
      <c r="G447" s="946">
        <f t="shared" si="21"/>
        <v>12.8225</v>
      </c>
      <c r="H447" s="900"/>
    </row>
    <row r="448" spans="1:8">
      <c r="A448" s="161"/>
      <c r="B448" s="886"/>
      <c r="C448" s="898"/>
      <c r="D448" s="946"/>
      <c r="E448" s="946"/>
      <c r="F448" s="946"/>
      <c r="G448" s="927">
        <f>SUM(G432:G447)</f>
        <v>280.64025000000004</v>
      </c>
      <c r="H448" s="900"/>
    </row>
    <row r="449" spans="1:8" ht="15">
      <c r="A449" s="161"/>
      <c r="B449" s="994" t="s">
        <v>1021</v>
      </c>
      <c r="C449" s="898"/>
      <c r="D449" s="946"/>
      <c r="E449" s="946"/>
      <c r="F449" s="946"/>
      <c r="G449" s="984"/>
      <c r="H449" s="900"/>
    </row>
    <row r="450" spans="1:8" ht="15">
      <c r="A450" s="161"/>
      <c r="B450" s="994" t="s">
        <v>1359</v>
      </c>
      <c r="C450" s="898">
        <v>2</v>
      </c>
      <c r="D450" s="946">
        <v>0.75</v>
      </c>
      <c r="E450" s="946"/>
      <c r="F450" s="946">
        <v>2.1</v>
      </c>
      <c r="G450" s="898">
        <f>F450*D450*C450</f>
        <v>3.1500000000000004</v>
      </c>
      <c r="H450" s="900"/>
    </row>
    <row r="451" spans="1:8" ht="15">
      <c r="A451" s="161"/>
      <c r="B451" s="994" t="s">
        <v>213</v>
      </c>
      <c r="C451" s="898">
        <v>4</v>
      </c>
      <c r="D451" s="946">
        <v>0.75</v>
      </c>
      <c r="E451" s="946"/>
      <c r="F451" s="946">
        <v>2.1</v>
      </c>
      <c r="G451" s="898">
        <f>F451*D451*C451</f>
        <v>6.3000000000000007</v>
      </c>
      <c r="H451" s="900"/>
    </row>
    <row r="452" spans="1:8" ht="15">
      <c r="A452" s="161"/>
      <c r="B452" s="994" t="s">
        <v>1358</v>
      </c>
      <c r="C452" s="898">
        <v>8</v>
      </c>
      <c r="D452" s="946">
        <v>0.9</v>
      </c>
      <c r="E452" s="946"/>
      <c r="F452" s="946">
        <v>2.1</v>
      </c>
      <c r="G452" s="898">
        <f>F452*D452*C452</f>
        <v>15.120000000000001</v>
      </c>
      <c r="H452" s="900"/>
    </row>
    <row r="453" spans="1:8" ht="15">
      <c r="A453" s="161"/>
      <c r="B453" s="994" t="s">
        <v>1359</v>
      </c>
      <c r="C453" s="898">
        <v>4</v>
      </c>
      <c r="D453" s="946">
        <v>0.75</v>
      </c>
      <c r="E453" s="946"/>
      <c r="F453" s="946">
        <v>2.1</v>
      </c>
      <c r="G453" s="898">
        <f t="shared" ref="G453:G458" si="22">F453*D453*C453</f>
        <v>6.3000000000000007</v>
      </c>
      <c r="H453" s="900"/>
    </row>
    <row r="454" spans="1:8" ht="15">
      <c r="A454" s="161"/>
      <c r="B454" s="994" t="s">
        <v>1357</v>
      </c>
      <c r="C454" s="898">
        <v>2</v>
      </c>
      <c r="D454" s="946">
        <v>0.92500000000000004</v>
      </c>
      <c r="E454" s="946"/>
      <c r="F454" s="946">
        <v>2.1</v>
      </c>
      <c r="G454" s="898">
        <f t="shared" si="22"/>
        <v>3.8850000000000002</v>
      </c>
      <c r="H454" s="900"/>
    </row>
    <row r="455" spans="1:8" ht="15">
      <c r="A455" s="161"/>
      <c r="B455" s="994" t="s">
        <v>1458</v>
      </c>
      <c r="C455" s="898">
        <v>2</v>
      </c>
      <c r="D455" s="946">
        <v>1.7849999999999999</v>
      </c>
      <c r="E455" s="946"/>
      <c r="F455" s="946">
        <v>2.1</v>
      </c>
      <c r="G455" s="898">
        <f t="shared" si="22"/>
        <v>7.4969999999999999</v>
      </c>
      <c r="H455" s="900"/>
    </row>
    <row r="456" spans="1:8" ht="15">
      <c r="A456" s="161"/>
      <c r="B456" s="994" t="s">
        <v>1458</v>
      </c>
      <c r="C456" s="898">
        <v>2</v>
      </c>
      <c r="D456" s="946">
        <v>1.385</v>
      </c>
      <c r="E456" s="946"/>
      <c r="F456" s="946">
        <v>2.1</v>
      </c>
      <c r="G456" s="898">
        <f t="shared" si="22"/>
        <v>5.8170000000000002</v>
      </c>
      <c r="H456" s="900"/>
    </row>
    <row r="457" spans="1:8" ht="15">
      <c r="A457" s="161"/>
      <c r="B457" s="994" t="s">
        <v>1459</v>
      </c>
      <c r="C457" s="898">
        <v>2</v>
      </c>
      <c r="D457" s="946">
        <v>1.2</v>
      </c>
      <c r="E457" s="946"/>
      <c r="F457" s="946">
        <v>2.1</v>
      </c>
      <c r="G457" s="898">
        <f t="shared" si="22"/>
        <v>5.04</v>
      </c>
      <c r="H457" s="900"/>
    </row>
    <row r="458" spans="1:8" ht="15">
      <c r="A458" s="161"/>
      <c r="B458" s="994" t="s">
        <v>1460</v>
      </c>
      <c r="C458" s="898">
        <v>2</v>
      </c>
      <c r="D458" s="946">
        <v>1.24</v>
      </c>
      <c r="E458" s="946"/>
      <c r="F458" s="946">
        <v>2.1</v>
      </c>
      <c r="G458" s="898">
        <f t="shared" si="22"/>
        <v>5.2080000000000002</v>
      </c>
      <c r="H458" s="900"/>
    </row>
    <row r="459" spans="1:8">
      <c r="A459" s="161"/>
      <c r="B459" s="886"/>
      <c r="C459" s="898"/>
      <c r="D459" s="946"/>
      <c r="E459" s="946"/>
      <c r="F459" s="946"/>
      <c r="G459" s="927">
        <f>SUM(G450:G458)</f>
        <v>58.317</v>
      </c>
      <c r="H459" s="900"/>
    </row>
    <row r="460" spans="1:8">
      <c r="A460" s="161"/>
      <c r="B460" s="886"/>
      <c r="C460" s="898"/>
      <c r="D460" s="946"/>
      <c r="E460" s="946"/>
      <c r="F460" s="946"/>
      <c r="G460" s="927">
        <f>G448-G459</f>
        <v>222.32325000000003</v>
      </c>
      <c r="H460" s="900"/>
    </row>
    <row r="461" spans="1:8">
      <c r="A461" s="161"/>
      <c r="B461" s="886"/>
      <c r="C461" s="898"/>
      <c r="D461" s="946"/>
      <c r="E461" s="946"/>
      <c r="F461" s="946"/>
      <c r="G461" s="889">
        <f>G460*10%</f>
        <v>22.232325000000003</v>
      </c>
      <c r="H461" s="900"/>
    </row>
    <row r="462" spans="1:8" ht="15">
      <c r="A462" s="161"/>
      <c r="B462" s="886"/>
      <c r="C462" s="898"/>
      <c r="D462" s="946"/>
      <c r="E462" s="946"/>
      <c r="F462" s="946"/>
      <c r="G462" s="894">
        <f>G461+G460</f>
        <v>244.55557500000003</v>
      </c>
      <c r="H462" s="934" t="s">
        <v>32</v>
      </c>
    </row>
    <row r="463" spans="1:8" ht="15">
      <c r="A463" s="161"/>
      <c r="B463" s="936" t="s">
        <v>1214</v>
      </c>
      <c r="C463" s="899"/>
      <c r="D463" s="947"/>
      <c r="E463" s="946"/>
      <c r="F463" s="947"/>
      <c r="G463" s="984"/>
      <c r="H463" s="929"/>
    </row>
    <row r="464" spans="1:8" ht="15">
      <c r="A464" s="161"/>
      <c r="B464" s="936" t="s">
        <v>1435</v>
      </c>
      <c r="C464" s="898">
        <v>2</v>
      </c>
      <c r="D464" s="946">
        <f>+(3.3+3.6)*2</f>
        <v>13.8</v>
      </c>
      <c r="E464" s="946"/>
      <c r="F464" s="946">
        <v>2.875</v>
      </c>
      <c r="G464" s="946">
        <f>F464*D464*C464</f>
        <v>79.350000000000009</v>
      </c>
      <c r="H464" s="929"/>
    </row>
    <row r="465" spans="1:8" ht="15">
      <c r="A465" s="161"/>
      <c r="B465" s="936" t="s">
        <v>1454</v>
      </c>
      <c r="C465" s="898">
        <v>2</v>
      </c>
      <c r="D465" s="946">
        <v>3.9</v>
      </c>
      <c r="E465" s="946"/>
      <c r="F465" s="946">
        <v>2.875</v>
      </c>
      <c r="G465" s="946">
        <f>F465*D465*C465</f>
        <v>22.425000000000001</v>
      </c>
      <c r="H465" s="929"/>
    </row>
    <row r="466" spans="1:8" ht="15">
      <c r="A466" s="161"/>
      <c r="B466" s="936"/>
      <c r="C466" s="898">
        <v>2</v>
      </c>
      <c r="D466" s="946">
        <v>3.15</v>
      </c>
      <c r="E466" s="946"/>
      <c r="F466" s="946">
        <v>2.875</v>
      </c>
      <c r="G466" s="946">
        <f>F466*D466*C466</f>
        <v>18.112500000000001</v>
      </c>
      <c r="H466" s="929"/>
    </row>
    <row r="467" spans="1:8" ht="15">
      <c r="A467" s="161"/>
      <c r="B467" s="936"/>
      <c r="C467" s="898">
        <v>2</v>
      </c>
      <c r="D467" s="946">
        <v>5.03</v>
      </c>
      <c r="E467" s="946"/>
      <c r="F467" s="946">
        <v>2.875</v>
      </c>
      <c r="G467" s="946">
        <f>F467*D467*C467</f>
        <v>28.922500000000003</v>
      </c>
      <c r="H467" s="929"/>
    </row>
    <row r="468" spans="1:8" ht="15">
      <c r="A468" s="161"/>
      <c r="B468" s="936" t="s">
        <v>1455</v>
      </c>
      <c r="C468" s="898">
        <v>2</v>
      </c>
      <c r="D468" s="946">
        <v>1.58</v>
      </c>
      <c r="E468" s="947"/>
      <c r="F468" s="946">
        <v>2.875</v>
      </c>
      <c r="G468" s="946">
        <f t="shared" ref="G468:G479" si="23">F468*D468*C468</f>
        <v>9.0850000000000009</v>
      </c>
      <c r="H468" s="929"/>
    </row>
    <row r="469" spans="1:8" ht="15">
      <c r="A469" s="161"/>
      <c r="B469" s="936"/>
      <c r="C469" s="898">
        <v>2</v>
      </c>
      <c r="D469" s="946">
        <v>1.01</v>
      </c>
      <c r="E469" s="947"/>
      <c r="F469" s="946">
        <v>2.875</v>
      </c>
      <c r="G469" s="946">
        <f t="shared" si="23"/>
        <v>5.8075000000000001</v>
      </c>
      <c r="H469" s="929"/>
    </row>
    <row r="470" spans="1:8" ht="15">
      <c r="A470" s="161"/>
      <c r="B470" s="936"/>
      <c r="C470" s="898">
        <v>2</v>
      </c>
      <c r="D470" s="946">
        <v>0.9</v>
      </c>
      <c r="E470" s="947"/>
      <c r="F470" s="946">
        <v>2.875</v>
      </c>
      <c r="G470" s="946">
        <f t="shared" si="23"/>
        <v>5.1749999999999998</v>
      </c>
      <c r="H470" s="929"/>
    </row>
    <row r="471" spans="1:8" ht="15">
      <c r="A471" s="161"/>
      <c r="B471" s="936" t="s">
        <v>1456</v>
      </c>
      <c r="C471" s="898">
        <v>2</v>
      </c>
      <c r="D471" s="947">
        <v>2.145</v>
      </c>
      <c r="E471" s="947"/>
      <c r="F471" s="946">
        <v>2.875</v>
      </c>
      <c r="G471" s="946">
        <f t="shared" si="23"/>
        <v>12.33375</v>
      </c>
      <c r="H471" s="929"/>
    </row>
    <row r="472" spans="1:8" ht="15">
      <c r="A472" s="161"/>
      <c r="B472" s="936" t="s">
        <v>1435</v>
      </c>
      <c r="C472" s="898">
        <v>2</v>
      </c>
      <c r="D472" s="946">
        <v>3.42</v>
      </c>
      <c r="E472" s="946"/>
      <c r="F472" s="946">
        <v>2.875</v>
      </c>
      <c r="G472" s="946">
        <f t="shared" si="23"/>
        <v>19.664999999999999</v>
      </c>
      <c r="H472" s="929"/>
    </row>
    <row r="473" spans="1:8" ht="15">
      <c r="A473" s="161"/>
      <c r="B473" s="936"/>
      <c r="C473" s="898">
        <v>2</v>
      </c>
      <c r="D473" s="946">
        <v>3.9</v>
      </c>
      <c r="E473" s="946"/>
      <c r="F473" s="946">
        <v>2.875</v>
      </c>
      <c r="G473" s="946">
        <f t="shared" si="23"/>
        <v>22.425000000000001</v>
      </c>
      <c r="H473" s="929"/>
    </row>
    <row r="474" spans="1:8" ht="15">
      <c r="A474" s="161"/>
      <c r="B474" s="936"/>
      <c r="C474" s="898">
        <v>2</v>
      </c>
      <c r="D474" s="946">
        <v>1.2</v>
      </c>
      <c r="E474" s="946"/>
      <c r="F474" s="946">
        <v>2.875</v>
      </c>
      <c r="G474" s="946">
        <f t="shared" si="23"/>
        <v>6.8999999999999995</v>
      </c>
      <c r="H474" s="929"/>
    </row>
    <row r="475" spans="1:8" ht="15">
      <c r="A475" s="161"/>
      <c r="B475" s="936"/>
      <c r="C475" s="898">
        <v>2</v>
      </c>
      <c r="D475" s="946">
        <v>0.6</v>
      </c>
      <c r="E475" s="946"/>
      <c r="F475" s="946">
        <v>2.875</v>
      </c>
      <c r="G475" s="946">
        <f t="shared" si="23"/>
        <v>3.4499999999999997</v>
      </c>
      <c r="H475" s="929"/>
    </row>
    <row r="476" spans="1:8" ht="15">
      <c r="A476" s="161"/>
      <c r="B476" s="936"/>
      <c r="C476" s="898">
        <v>2</v>
      </c>
      <c r="D476" s="946">
        <v>0.25</v>
      </c>
      <c r="E476" s="946"/>
      <c r="F476" s="946">
        <v>2.875</v>
      </c>
      <c r="G476" s="946">
        <f t="shared" si="23"/>
        <v>1.4375</v>
      </c>
      <c r="H476" s="929"/>
    </row>
    <row r="477" spans="1:8" ht="15">
      <c r="A477" s="161"/>
      <c r="B477" s="936"/>
      <c r="C477" s="898">
        <v>2</v>
      </c>
      <c r="D477" s="946">
        <v>2</v>
      </c>
      <c r="E477" s="946"/>
      <c r="F477" s="946">
        <v>2.875</v>
      </c>
      <c r="G477" s="946">
        <f t="shared" si="23"/>
        <v>11.5</v>
      </c>
      <c r="H477" s="929"/>
    </row>
    <row r="478" spans="1:8" ht="15">
      <c r="A478" s="161"/>
      <c r="B478" s="936"/>
      <c r="C478" s="898">
        <v>2</v>
      </c>
      <c r="D478" s="946">
        <v>3.6920000000000002</v>
      </c>
      <c r="E478" s="946"/>
      <c r="F478" s="946">
        <v>2.875</v>
      </c>
      <c r="G478" s="946">
        <f t="shared" si="23"/>
        <v>21.228999999999999</v>
      </c>
      <c r="H478" s="929"/>
    </row>
    <row r="479" spans="1:8" ht="15">
      <c r="A479" s="161"/>
      <c r="B479" s="936" t="s">
        <v>1457</v>
      </c>
      <c r="C479" s="898">
        <v>2</v>
      </c>
      <c r="D479" s="946">
        <v>2.23</v>
      </c>
      <c r="E479" s="946"/>
      <c r="F479" s="946">
        <v>2.875</v>
      </c>
      <c r="G479" s="946">
        <f t="shared" si="23"/>
        <v>12.8225</v>
      </c>
      <c r="H479" s="929"/>
    </row>
    <row r="480" spans="1:8">
      <c r="A480" s="161"/>
      <c r="B480" s="886"/>
      <c r="C480" s="898"/>
      <c r="D480" s="946"/>
      <c r="E480" s="946"/>
      <c r="F480" s="946"/>
      <c r="G480" s="927">
        <f>SUM(G464:G479)</f>
        <v>280.64025000000004</v>
      </c>
      <c r="H480" s="900"/>
    </row>
    <row r="481" spans="1:8" ht="15">
      <c r="A481" s="161"/>
      <c r="B481" s="994" t="s">
        <v>1230</v>
      </c>
      <c r="C481" s="898"/>
      <c r="D481" s="946"/>
      <c r="E481" s="946"/>
      <c r="F481" s="946"/>
      <c r="G481" s="984"/>
      <c r="H481" s="900"/>
    </row>
    <row r="482" spans="1:8" ht="15">
      <c r="A482" s="161"/>
      <c r="B482" s="994" t="s">
        <v>1359</v>
      </c>
      <c r="C482" s="898">
        <v>2</v>
      </c>
      <c r="D482" s="946">
        <v>0.75</v>
      </c>
      <c r="E482" s="946"/>
      <c r="F482" s="946">
        <v>2.1</v>
      </c>
      <c r="G482" s="935">
        <f>F482*D482*C482</f>
        <v>3.1500000000000004</v>
      </c>
      <c r="H482" s="900"/>
    </row>
    <row r="483" spans="1:8" ht="15">
      <c r="A483" s="161"/>
      <c r="B483" s="994" t="s">
        <v>213</v>
      </c>
      <c r="C483" s="898">
        <v>4</v>
      </c>
      <c r="D483" s="946">
        <v>0.75</v>
      </c>
      <c r="E483" s="946"/>
      <c r="F483" s="946">
        <v>2.1</v>
      </c>
      <c r="G483" s="935">
        <f>F483*D483*C483</f>
        <v>6.3000000000000007</v>
      </c>
      <c r="H483" s="900"/>
    </row>
    <row r="484" spans="1:8" ht="15">
      <c r="A484" s="161"/>
      <c r="B484" s="994" t="s">
        <v>1358</v>
      </c>
      <c r="C484" s="898">
        <v>8</v>
      </c>
      <c r="D484" s="946">
        <v>0.9</v>
      </c>
      <c r="E484" s="946"/>
      <c r="F484" s="946">
        <v>2.1</v>
      </c>
      <c r="G484" s="935">
        <f>F484*D484*C484</f>
        <v>15.120000000000001</v>
      </c>
      <c r="H484" s="900"/>
    </row>
    <row r="485" spans="1:8" ht="15">
      <c r="A485" s="161"/>
      <c r="B485" s="994" t="s">
        <v>1359</v>
      </c>
      <c r="C485" s="898">
        <v>4</v>
      </c>
      <c r="D485" s="946">
        <v>0.75</v>
      </c>
      <c r="E485" s="946"/>
      <c r="F485" s="946">
        <v>2.1</v>
      </c>
      <c r="G485" s="935">
        <f t="shared" ref="G485:G490" si="24">F485*D485*C485</f>
        <v>6.3000000000000007</v>
      </c>
      <c r="H485" s="900"/>
    </row>
    <row r="486" spans="1:8" ht="15">
      <c r="A486" s="161"/>
      <c r="B486" s="994" t="s">
        <v>1357</v>
      </c>
      <c r="C486" s="898">
        <v>2</v>
      </c>
      <c r="D486" s="946">
        <v>0.92500000000000004</v>
      </c>
      <c r="E486" s="946"/>
      <c r="F486" s="946">
        <v>2.1</v>
      </c>
      <c r="G486" s="935">
        <f t="shared" si="24"/>
        <v>3.8850000000000002</v>
      </c>
      <c r="H486" s="900"/>
    </row>
    <row r="487" spans="1:8" ht="15">
      <c r="A487" s="161"/>
      <c r="B487" s="994" t="s">
        <v>1458</v>
      </c>
      <c r="C487" s="898">
        <v>2</v>
      </c>
      <c r="D487" s="946">
        <v>1.7849999999999999</v>
      </c>
      <c r="E487" s="946"/>
      <c r="F487" s="946">
        <v>2.1</v>
      </c>
      <c r="G487" s="898">
        <f t="shared" si="24"/>
        <v>7.4969999999999999</v>
      </c>
      <c r="H487" s="900"/>
    </row>
    <row r="488" spans="1:8" ht="15">
      <c r="A488" s="161"/>
      <c r="B488" s="994" t="s">
        <v>1458</v>
      </c>
      <c r="C488" s="898">
        <v>2</v>
      </c>
      <c r="D488" s="946">
        <v>1.385</v>
      </c>
      <c r="E488" s="946"/>
      <c r="F488" s="946">
        <v>2.1</v>
      </c>
      <c r="G488" s="898">
        <f t="shared" si="24"/>
        <v>5.8170000000000002</v>
      </c>
      <c r="H488" s="900"/>
    </row>
    <row r="489" spans="1:8" ht="15">
      <c r="A489" s="161"/>
      <c r="B489" s="994" t="s">
        <v>1459</v>
      </c>
      <c r="C489" s="898">
        <v>2</v>
      </c>
      <c r="D489" s="946">
        <v>1.2</v>
      </c>
      <c r="E489" s="946"/>
      <c r="F489" s="946">
        <v>2.1</v>
      </c>
      <c r="G489" s="898">
        <f t="shared" si="24"/>
        <v>5.04</v>
      </c>
      <c r="H489" s="900"/>
    </row>
    <row r="490" spans="1:8" ht="15">
      <c r="A490" s="161"/>
      <c r="B490" s="994" t="s">
        <v>1460</v>
      </c>
      <c r="C490" s="898">
        <v>2</v>
      </c>
      <c r="D490" s="946">
        <v>1.24</v>
      </c>
      <c r="E490" s="946"/>
      <c r="F490" s="946">
        <v>2.1</v>
      </c>
      <c r="G490" s="898">
        <f t="shared" si="24"/>
        <v>5.2080000000000002</v>
      </c>
      <c r="H490" s="900"/>
    </row>
    <row r="491" spans="1:8">
      <c r="A491" s="161"/>
      <c r="B491" s="886"/>
      <c r="C491" s="898"/>
      <c r="D491" s="946"/>
      <c r="E491" s="946"/>
      <c r="F491" s="946"/>
      <c r="G491" s="927">
        <f>SUM(G482:G490)</f>
        <v>58.317</v>
      </c>
      <c r="H491" s="900"/>
    </row>
    <row r="492" spans="1:8">
      <c r="A492" s="161"/>
      <c r="B492" s="886"/>
      <c r="C492" s="898"/>
      <c r="D492" s="946"/>
      <c r="E492" s="946"/>
      <c r="F492" s="946"/>
      <c r="G492" s="927">
        <f>G480-G491</f>
        <v>222.32325000000003</v>
      </c>
      <c r="H492" s="900"/>
    </row>
    <row r="493" spans="1:8">
      <c r="A493" s="161"/>
      <c r="B493" s="886"/>
      <c r="C493" s="898"/>
      <c r="D493" s="946"/>
      <c r="E493" s="946"/>
      <c r="F493" s="946"/>
      <c r="G493" s="863">
        <f>G492*10%</f>
        <v>22.232325000000003</v>
      </c>
      <c r="H493" s="900"/>
    </row>
    <row r="494" spans="1:8" ht="15">
      <c r="A494" s="161"/>
      <c r="B494" s="886"/>
      <c r="C494" s="898"/>
      <c r="D494" s="946"/>
      <c r="E494" s="946"/>
      <c r="F494" s="946"/>
      <c r="G494" s="894">
        <f>G493+G492</f>
        <v>244.55557500000003</v>
      </c>
      <c r="H494" s="934" t="s">
        <v>350</v>
      </c>
    </row>
    <row r="495" spans="1:8" ht="15">
      <c r="A495" s="161"/>
      <c r="B495" s="936" t="s">
        <v>1164</v>
      </c>
      <c r="C495" s="898">
        <v>2</v>
      </c>
      <c r="D495" s="946">
        <v>2.61</v>
      </c>
      <c r="E495" s="946"/>
      <c r="F495" s="946">
        <v>0.9</v>
      </c>
      <c r="G495" s="946">
        <f t="shared" ref="G495:G512" si="25">F495*D495*C495</f>
        <v>4.6979999999999995</v>
      </c>
      <c r="H495" s="934"/>
    </row>
    <row r="496" spans="1:8" ht="15">
      <c r="A496" s="161"/>
      <c r="B496" s="936"/>
      <c r="C496" s="898">
        <v>2</v>
      </c>
      <c r="D496" s="946">
        <v>0.41499999999999998</v>
      </c>
      <c r="E496" s="946"/>
      <c r="F496" s="946">
        <v>0.9</v>
      </c>
      <c r="G496" s="946">
        <f t="shared" si="25"/>
        <v>0.747</v>
      </c>
      <c r="H496" s="934"/>
    </row>
    <row r="497" spans="1:8" ht="15">
      <c r="A497" s="161"/>
      <c r="B497" s="936"/>
      <c r="C497" s="898">
        <v>2</v>
      </c>
      <c r="D497" s="946">
        <v>2.2850000000000001</v>
      </c>
      <c r="E497" s="946"/>
      <c r="F497" s="946">
        <v>0.9</v>
      </c>
      <c r="G497" s="946">
        <f t="shared" si="25"/>
        <v>4.1130000000000004</v>
      </c>
      <c r="H497" s="934"/>
    </row>
    <row r="498" spans="1:8" ht="15">
      <c r="A498" s="161"/>
      <c r="B498" s="936"/>
      <c r="C498" s="898">
        <v>2</v>
      </c>
      <c r="D498" s="946">
        <v>2.0150000000000001</v>
      </c>
      <c r="E498" s="946"/>
      <c r="F498" s="946">
        <v>0.9</v>
      </c>
      <c r="G498" s="946">
        <f t="shared" si="25"/>
        <v>3.6270000000000002</v>
      </c>
      <c r="H498" s="934"/>
    </row>
    <row r="499" spans="1:8" ht="15">
      <c r="A499" s="161"/>
      <c r="B499" s="936"/>
      <c r="C499" s="898">
        <v>2</v>
      </c>
      <c r="D499" s="946">
        <v>1.615</v>
      </c>
      <c r="E499" s="946"/>
      <c r="F499" s="946">
        <v>0.9</v>
      </c>
      <c r="G499" s="946">
        <f t="shared" si="25"/>
        <v>2.907</v>
      </c>
      <c r="H499" s="934"/>
    </row>
    <row r="500" spans="1:8" ht="15">
      <c r="A500" s="161"/>
      <c r="B500" s="936"/>
      <c r="C500" s="898">
        <v>2</v>
      </c>
      <c r="D500" s="946">
        <v>4.0599999999999996</v>
      </c>
      <c r="E500" s="946"/>
      <c r="F500" s="946">
        <v>0.9</v>
      </c>
      <c r="G500" s="946">
        <f t="shared" si="25"/>
        <v>7.3079999999999998</v>
      </c>
      <c r="H500" s="934"/>
    </row>
    <row r="501" spans="1:8" ht="15">
      <c r="A501" s="161"/>
      <c r="B501" s="936"/>
      <c r="C501" s="898">
        <v>2</v>
      </c>
      <c r="D501" s="946">
        <v>0.755</v>
      </c>
      <c r="E501" s="946"/>
      <c r="F501" s="946">
        <v>0.9</v>
      </c>
      <c r="G501" s="946">
        <f t="shared" si="25"/>
        <v>1.359</v>
      </c>
      <c r="H501" s="934"/>
    </row>
    <row r="502" spans="1:8" ht="15">
      <c r="A502" s="161"/>
      <c r="B502" s="936"/>
      <c r="C502" s="898">
        <v>2</v>
      </c>
      <c r="D502" s="946">
        <v>1.2350000000000001</v>
      </c>
      <c r="E502" s="946"/>
      <c r="F502" s="946">
        <v>0.9</v>
      </c>
      <c r="G502" s="946">
        <f t="shared" si="25"/>
        <v>2.2230000000000003</v>
      </c>
      <c r="H502" s="934"/>
    </row>
    <row r="503" spans="1:8" ht="15">
      <c r="A503" s="161"/>
      <c r="B503" s="936"/>
      <c r="C503" s="898">
        <v>2</v>
      </c>
      <c r="D503" s="946">
        <v>0.755</v>
      </c>
      <c r="E503" s="946"/>
      <c r="F503" s="946">
        <v>0.9</v>
      </c>
      <c r="G503" s="946">
        <f t="shared" si="25"/>
        <v>1.359</v>
      </c>
      <c r="H503" s="934"/>
    </row>
    <row r="504" spans="1:8" ht="15">
      <c r="A504" s="161"/>
      <c r="B504" s="936"/>
      <c r="C504" s="898">
        <v>2</v>
      </c>
      <c r="D504" s="946">
        <v>4.3600000000000003</v>
      </c>
      <c r="E504" s="946"/>
      <c r="F504" s="946">
        <v>0.9</v>
      </c>
      <c r="G504" s="946">
        <f t="shared" si="25"/>
        <v>7.8480000000000008</v>
      </c>
      <c r="H504" s="934"/>
    </row>
    <row r="505" spans="1:8" ht="15">
      <c r="A505" s="161"/>
      <c r="B505" s="936"/>
      <c r="C505" s="898">
        <v>2</v>
      </c>
      <c r="D505" s="946">
        <v>1.61</v>
      </c>
      <c r="E505" s="946"/>
      <c r="F505" s="946">
        <v>0.9</v>
      </c>
      <c r="G505" s="946">
        <f t="shared" si="25"/>
        <v>2.8980000000000001</v>
      </c>
      <c r="H505" s="934"/>
    </row>
    <row r="506" spans="1:8" ht="15">
      <c r="A506" s="161"/>
      <c r="B506" s="936"/>
      <c r="C506" s="898">
        <v>2</v>
      </c>
      <c r="D506" s="946">
        <v>0.3</v>
      </c>
      <c r="E506" s="946"/>
      <c r="F506" s="946">
        <v>0.9</v>
      </c>
      <c r="G506" s="946">
        <f t="shared" si="25"/>
        <v>0.54</v>
      </c>
      <c r="H506" s="934"/>
    </row>
    <row r="507" spans="1:8" ht="15">
      <c r="A507" s="161"/>
      <c r="B507" s="936"/>
      <c r="C507" s="898">
        <v>2</v>
      </c>
      <c r="D507" s="946">
        <v>2.27</v>
      </c>
      <c r="E507" s="946"/>
      <c r="F507" s="946">
        <v>0.9</v>
      </c>
      <c r="G507" s="946">
        <f t="shared" si="25"/>
        <v>4.0860000000000003</v>
      </c>
      <c r="H507" s="934"/>
    </row>
    <row r="508" spans="1:8" ht="15">
      <c r="A508" s="161"/>
      <c r="B508" s="936"/>
      <c r="C508" s="898">
        <v>2</v>
      </c>
      <c r="D508" s="946">
        <v>2.1800000000000002</v>
      </c>
      <c r="E508" s="946"/>
      <c r="F508" s="946">
        <v>0.9</v>
      </c>
      <c r="G508" s="946">
        <f t="shared" si="25"/>
        <v>3.9240000000000004</v>
      </c>
      <c r="H508" s="934"/>
    </row>
    <row r="509" spans="1:8" ht="15">
      <c r="A509" s="161"/>
      <c r="B509" s="936"/>
      <c r="C509" s="898">
        <v>2</v>
      </c>
      <c r="D509" s="946">
        <v>1.6850000000000001</v>
      </c>
      <c r="E509" s="946"/>
      <c r="F509" s="946">
        <v>0.9</v>
      </c>
      <c r="G509" s="946">
        <f t="shared" si="25"/>
        <v>3.0330000000000004</v>
      </c>
      <c r="H509" s="934"/>
    </row>
    <row r="510" spans="1:8" ht="15">
      <c r="A510" s="161"/>
      <c r="B510" s="936"/>
      <c r="C510" s="898">
        <v>2</v>
      </c>
      <c r="D510" s="946">
        <v>1.1850000000000001</v>
      </c>
      <c r="E510" s="946"/>
      <c r="F510" s="946">
        <v>0.9</v>
      </c>
      <c r="G510" s="946">
        <f t="shared" si="25"/>
        <v>2.133</v>
      </c>
      <c r="H510" s="934"/>
    </row>
    <row r="511" spans="1:8" ht="15">
      <c r="A511" s="161"/>
      <c r="B511" s="936"/>
      <c r="C511" s="898">
        <v>2</v>
      </c>
      <c r="D511" s="946">
        <v>1.345</v>
      </c>
      <c r="E511" s="946"/>
      <c r="F511" s="946">
        <v>0.9</v>
      </c>
      <c r="G511" s="946">
        <f t="shared" si="25"/>
        <v>2.4209999999999998</v>
      </c>
      <c r="H511" s="934"/>
    </row>
    <row r="512" spans="1:8" ht="15">
      <c r="A512" s="161"/>
      <c r="B512" s="936" t="s">
        <v>1161</v>
      </c>
      <c r="C512" s="899">
        <v>1</v>
      </c>
      <c r="D512" s="947">
        <f>2*(1+4.52)</f>
        <v>11.04</v>
      </c>
      <c r="E512" s="947"/>
      <c r="F512" s="947">
        <v>2.4</v>
      </c>
      <c r="G512" s="1027">
        <f t="shared" si="25"/>
        <v>26.495999999999999</v>
      </c>
      <c r="H512" s="926"/>
    </row>
    <row r="513" spans="1:8" ht="15">
      <c r="A513" s="161"/>
      <c r="B513" s="936"/>
      <c r="C513" s="899"/>
      <c r="D513" s="947"/>
      <c r="E513" s="947"/>
      <c r="F513" s="947"/>
      <c r="G513" s="1028">
        <f>SUM(G495:G512)</f>
        <v>81.72</v>
      </c>
      <c r="H513" s="926"/>
    </row>
    <row r="514" spans="1:8" ht="15">
      <c r="A514" s="161"/>
      <c r="B514" s="936" t="s">
        <v>1021</v>
      </c>
      <c r="C514" s="899">
        <v>1</v>
      </c>
      <c r="D514" s="947">
        <v>1</v>
      </c>
      <c r="E514" s="947"/>
      <c r="F514" s="947">
        <v>2.1</v>
      </c>
      <c r="G514" s="1028">
        <f>F514*D514*C514</f>
        <v>2.1</v>
      </c>
      <c r="H514" s="926"/>
    </row>
    <row r="515" spans="1:8" ht="15">
      <c r="A515" s="161"/>
      <c r="B515" s="936"/>
      <c r="C515" s="899"/>
      <c r="D515" s="947"/>
      <c r="E515" s="947"/>
      <c r="F515" s="947"/>
      <c r="G515" s="1029">
        <f>G513-G514</f>
        <v>79.62</v>
      </c>
      <c r="H515" s="926"/>
    </row>
    <row r="516" spans="1:8">
      <c r="A516" s="161"/>
      <c r="B516" s="936"/>
      <c r="C516" s="899"/>
      <c r="D516" s="947"/>
      <c r="E516" s="947"/>
      <c r="F516" s="947"/>
      <c r="G516" s="890">
        <f>G515*10%</f>
        <v>7.9620000000000006</v>
      </c>
      <c r="H516" s="926"/>
    </row>
    <row r="517" spans="1:8">
      <c r="A517" s="161"/>
      <c r="B517" s="855"/>
      <c r="C517" s="849"/>
      <c r="D517" s="1030"/>
      <c r="E517" s="1030"/>
      <c r="F517" s="947"/>
      <c r="G517" s="944">
        <f>G516+G515</f>
        <v>87.582000000000008</v>
      </c>
      <c r="H517" s="926" t="s">
        <v>32</v>
      </c>
    </row>
    <row r="518" spans="1:8" ht="15">
      <c r="A518" s="161">
        <v>12</v>
      </c>
      <c r="B518" s="884" t="s">
        <v>1369</v>
      </c>
      <c r="C518" s="886"/>
      <c r="D518" s="890"/>
      <c r="E518" s="947"/>
      <c r="F518" s="1000"/>
      <c r="G518" s="967"/>
      <c r="H518" s="926"/>
    </row>
    <row r="519" spans="1:8" ht="15">
      <c r="A519" s="161"/>
      <c r="B519" s="936" t="s">
        <v>1051</v>
      </c>
      <c r="C519" s="886"/>
      <c r="D519" s="890"/>
      <c r="E519" s="947"/>
      <c r="F519" s="1000"/>
      <c r="G519" s="967"/>
      <c r="H519" s="926"/>
    </row>
    <row r="520" spans="1:8">
      <c r="A520" s="161"/>
      <c r="B520" s="884"/>
      <c r="C520" s="898">
        <v>2</v>
      </c>
      <c r="D520" s="946">
        <v>2.61</v>
      </c>
      <c r="E520" s="946"/>
      <c r="F520" s="946">
        <v>3</v>
      </c>
      <c r="G520" s="946">
        <f t="shared" ref="G520:G536" si="26">F520*D520*C520</f>
        <v>15.66</v>
      </c>
      <c r="H520" s="926"/>
    </row>
    <row r="521" spans="1:8">
      <c r="A521" s="161"/>
      <c r="B521" s="884"/>
      <c r="C521" s="898">
        <v>2</v>
      </c>
      <c r="D521" s="946">
        <v>0.41499999999999998</v>
      </c>
      <c r="E521" s="946"/>
      <c r="F521" s="946">
        <v>3</v>
      </c>
      <c r="G521" s="946">
        <f t="shared" si="26"/>
        <v>2.4899999999999998</v>
      </c>
      <c r="H521" s="926"/>
    </row>
    <row r="522" spans="1:8">
      <c r="A522" s="161"/>
      <c r="B522" s="884"/>
      <c r="C522" s="898">
        <v>2</v>
      </c>
      <c r="D522" s="946">
        <v>2.2850000000000001</v>
      </c>
      <c r="E522" s="946"/>
      <c r="F522" s="946">
        <v>3</v>
      </c>
      <c r="G522" s="946">
        <f t="shared" si="26"/>
        <v>13.71</v>
      </c>
      <c r="H522" s="926"/>
    </row>
    <row r="523" spans="1:8">
      <c r="A523" s="161"/>
      <c r="B523" s="884"/>
      <c r="C523" s="898">
        <v>2</v>
      </c>
      <c r="D523" s="946">
        <v>2.0150000000000001</v>
      </c>
      <c r="E523" s="946"/>
      <c r="F523" s="946">
        <v>3</v>
      </c>
      <c r="G523" s="946">
        <f t="shared" si="26"/>
        <v>12.09</v>
      </c>
      <c r="H523" s="926"/>
    </row>
    <row r="524" spans="1:8">
      <c r="A524" s="161"/>
      <c r="B524" s="884"/>
      <c r="C524" s="898">
        <v>2</v>
      </c>
      <c r="D524" s="946">
        <v>1.615</v>
      </c>
      <c r="E524" s="946"/>
      <c r="F524" s="946">
        <v>3</v>
      </c>
      <c r="G524" s="946">
        <f t="shared" si="26"/>
        <v>9.69</v>
      </c>
      <c r="H524" s="926"/>
    </row>
    <row r="525" spans="1:8">
      <c r="A525" s="161"/>
      <c r="B525" s="884"/>
      <c r="C525" s="898">
        <v>2</v>
      </c>
      <c r="D525" s="946">
        <v>4.0599999999999996</v>
      </c>
      <c r="E525" s="946"/>
      <c r="F525" s="946">
        <v>3</v>
      </c>
      <c r="G525" s="946">
        <f t="shared" si="26"/>
        <v>24.36</v>
      </c>
      <c r="H525" s="926"/>
    </row>
    <row r="526" spans="1:8">
      <c r="A526" s="161"/>
      <c r="B526" s="884"/>
      <c r="C526" s="898">
        <v>2</v>
      </c>
      <c r="D526" s="946">
        <v>0.755</v>
      </c>
      <c r="E526" s="946"/>
      <c r="F526" s="946">
        <v>3</v>
      </c>
      <c r="G526" s="946">
        <f t="shared" si="26"/>
        <v>4.53</v>
      </c>
      <c r="H526" s="926"/>
    </row>
    <row r="527" spans="1:8">
      <c r="A527" s="161"/>
      <c r="C527" s="898">
        <v>2</v>
      </c>
      <c r="D527" s="946">
        <v>1.2350000000000001</v>
      </c>
      <c r="E527" s="946"/>
      <c r="F527" s="946">
        <v>3</v>
      </c>
      <c r="G527" s="946">
        <f t="shared" si="26"/>
        <v>7.41</v>
      </c>
      <c r="H527" s="900"/>
    </row>
    <row r="528" spans="1:8">
      <c r="A528" s="161"/>
      <c r="B528" s="936"/>
      <c r="C528" s="898">
        <v>2</v>
      </c>
      <c r="D528" s="946">
        <v>0.755</v>
      </c>
      <c r="E528" s="946"/>
      <c r="F528" s="946">
        <v>3</v>
      </c>
      <c r="G528" s="946">
        <f t="shared" si="26"/>
        <v>4.53</v>
      </c>
      <c r="H528" s="900"/>
    </row>
    <row r="529" spans="1:8">
      <c r="A529" s="161"/>
      <c r="B529" s="936"/>
      <c r="C529" s="898">
        <v>2</v>
      </c>
      <c r="D529" s="946">
        <v>4.3600000000000003</v>
      </c>
      <c r="E529" s="946"/>
      <c r="F529" s="946">
        <v>3</v>
      </c>
      <c r="G529" s="946">
        <f t="shared" si="26"/>
        <v>26.160000000000004</v>
      </c>
      <c r="H529" s="900"/>
    </row>
    <row r="530" spans="1:8">
      <c r="A530" s="161"/>
      <c r="B530" s="936"/>
      <c r="C530" s="898">
        <v>2</v>
      </c>
      <c r="D530" s="946">
        <v>1.61</v>
      </c>
      <c r="E530" s="946"/>
      <c r="F530" s="946">
        <v>3</v>
      </c>
      <c r="G530" s="946">
        <f t="shared" si="26"/>
        <v>9.66</v>
      </c>
      <c r="H530" s="900"/>
    </row>
    <row r="531" spans="1:8">
      <c r="A531" s="161"/>
      <c r="B531" s="936"/>
      <c r="C531" s="898">
        <v>2</v>
      </c>
      <c r="D531" s="946">
        <v>0.3</v>
      </c>
      <c r="E531" s="946"/>
      <c r="F531" s="946">
        <v>3</v>
      </c>
      <c r="G531" s="946">
        <f t="shared" si="26"/>
        <v>1.7999999999999998</v>
      </c>
      <c r="H531" s="900"/>
    </row>
    <row r="532" spans="1:8">
      <c r="A532" s="161"/>
      <c r="B532" s="936"/>
      <c r="C532" s="898">
        <v>2</v>
      </c>
      <c r="D532" s="946">
        <v>2.27</v>
      </c>
      <c r="E532" s="946"/>
      <c r="F532" s="946">
        <v>3</v>
      </c>
      <c r="G532" s="946">
        <f t="shared" si="26"/>
        <v>13.620000000000001</v>
      </c>
      <c r="H532" s="900"/>
    </row>
    <row r="533" spans="1:8">
      <c r="A533" s="161"/>
      <c r="B533" s="936"/>
      <c r="C533" s="898">
        <v>2</v>
      </c>
      <c r="D533" s="946">
        <v>2.1800000000000002</v>
      </c>
      <c r="E533" s="946"/>
      <c r="F533" s="946">
        <v>3</v>
      </c>
      <c r="G533" s="946">
        <f t="shared" si="26"/>
        <v>13.080000000000002</v>
      </c>
      <c r="H533" s="900"/>
    </row>
    <row r="534" spans="1:8">
      <c r="A534" s="161"/>
      <c r="B534" s="936"/>
      <c r="C534" s="898">
        <v>2</v>
      </c>
      <c r="D534" s="946">
        <v>1.6850000000000001</v>
      </c>
      <c r="E534" s="946"/>
      <c r="F534" s="946">
        <v>3</v>
      </c>
      <c r="G534" s="946">
        <f t="shared" si="26"/>
        <v>10.11</v>
      </c>
      <c r="H534" s="900"/>
    </row>
    <row r="535" spans="1:8">
      <c r="A535" s="161"/>
      <c r="B535" s="936"/>
      <c r="C535" s="898">
        <v>2</v>
      </c>
      <c r="D535" s="946">
        <v>1.1850000000000001</v>
      </c>
      <c r="E535" s="946"/>
      <c r="F535" s="946">
        <v>3</v>
      </c>
      <c r="G535" s="946">
        <f t="shared" si="26"/>
        <v>7.11</v>
      </c>
      <c r="H535" s="900"/>
    </row>
    <row r="536" spans="1:8">
      <c r="A536" s="161"/>
      <c r="B536" s="936"/>
      <c r="C536" s="898">
        <v>2</v>
      </c>
      <c r="D536" s="946">
        <v>1.345</v>
      </c>
      <c r="E536" s="946"/>
      <c r="F536" s="946">
        <v>3</v>
      </c>
      <c r="G536" s="946">
        <f t="shared" si="26"/>
        <v>8.07</v>
      </c>
      <c r="H536" s="900"/>
    </row>
    <row r="537" spans="1:8">
      <c r="A537" s="161"/>
      <c r="B537" s="886"/>
      <c r="C537" s="898"/>
      <c r="D537" s="946"/>
      <c r="E537" s="946"/>
      <c r="F537" s="946"/>
      <c r="G537" s="1031">
        <f>SUM(G520:G536)</f>
        <v>184.08000000000004</v>
      </c>
      <c r="H537" s="900"/>
    </row>
    <row r="538" spans="1:8" ht="15">
      <c r="A538" s="161"/>
      <c r="B538" s="994" t="s">
        <v>1021</v>
      </c>
      <c r="C538" s="898"/>
      <c r="D538" s="946"/>
      <c r="E538" s="946"/>
      <c r="F538" s="946"/>
      <c r="G538" s="984"/>
      <c r="H538" s="900"/>
    </row>
    <row r="539" spans="1:8" ht="15">
      <c r="A539" s="161"/>
      <c r="B539" s="994" t="s">
        <v>1458</v>
      </c>
      <c r="C539" s="898">
        <v>2</v>
      </c>
      <c r="D539" s="946">
        <v>1.7849999999999999</v>
      </c>
      <c r="E539" s="946"/>
      <c r="F539" s="946">
        <v>1.5</v>
      </c>
      <c r="G539" s="898">
        <f t="shared" ref="G539:G546" si="27">F539*D539*C539</f>
        <v>5.3549999999999995</v>
      </c>
      <c r="H539" s="900"/>
    </row>
    <row r="540" spans="1:8" ht="15">
      <c r="A540" s="161"/>
      <c r="B540" s="994"/>
      <c r="C540" s="898">
        <v>2</v>
      </c>
      <c r="D540" s="946">
        <v>1.385</v>
      </c>
      <c r="E540" s="946"/>
      <c r="F540" s="946">
        <v>1.5</v>
      </c>
      <c r="G540" s="898">
        <f t="shared" si="27"/>
        <v>4.1550000000000002</v>
      </c>
      <c r="H540" s="900"/>
    </row>
    <row r="541" spans="1:8" ht="15">
      <c r="A541" s="161"/>
      <c r="B541" s="994"/>
      <c r="C541" s="898">
        <v>2</v>
      </c>
      <c r="D541" s="946">
        <v>1.7849999999999999</v>
      </c>
      <c r="E541" s="946"/>
      <c r="F541" s="946">
        <v>1.5</v>
      </c>
      <c r="G541" s="898">
        <f t="shared" si="27"/>
        <v>5.3549999999999995</v>
      </c>
      <c r="H541" s="900"/>
    </row>
    <row r="542" spans="1:8" ht="15">
      <c r="A542" s="161"/>
      <c r="B542" s="994" t="s">
        <v>1459</v>
      </c>
      <c r="C542" s="898">
        <v>2</v>
      </c>
      <c r="D542" s="946">
        <v>1.24</v>
      </c>
      <c r="E542" s="946"/>
      <c r="F542" s="946">
        <v>1.5</v>
      </c>
      <c r="G542" s="898">
        <f t="shared" si="27"/>
        <v>3.7199999999999998</v>
      </c>
      <c r="H542" s="900"/>
    </row>
    <row r="543" spans="1:8" ht="15">
      <c r="A543" s="161"/>
      <c r="B543" s="994"/>
      <c r="C543" s="898">
        <v>2</v>
      </c>
      <c r="D543" s="946">
        <v>1.2</v>
      </c>
      <c r="E543" s="946"/>
      <c r="F543" s="946">
        <v>1.5</v>
      </c>
      <c r="G543" s="898">
        <f t="shared" si="27"/>
        <v>3.5999999999999996</v>
      </c>
      <c r="H543" s="900"/>
    </row>
    <row r="544" spans="1:8" ht="15">
      <c r="A544" s="161"/>
      <c r="B544" s="994" t="s">
        <v>1461</v>
      </c>
      <c r="C544" s="898">
        <v>2</v>
      </c>
      <c r="D544" s="946">
        <v>0.75</v>
      </c>
      <c r="E544" s="946"/>
      <c r="F544" s="946">
        <v>2.1</v>
      </c>
      <c r="G544" s="898">
        <f t="shared" si="27"/>
        <v>3.1500000000000004</v>
      </c>
      <c r="H544" s="900"/>
    </row>
    <row r="545" spans="1:8" ht="15">
      <c r="A545" s="161"/>
      <c r="B545" s="994"/>
      <c r="C545" s="898">
        <v>2</v>
      </c>
      <c r="D545" s="946">
        <v>0.75</v>
      </c>
      <c r="E545" s="946"/>
      <c r="F545" s="946">
        <v>2.1</v>
      </c>
      <c r="G545" s="898">
        <f t="shared" si="27"/>
        <v>3.1500000000000004</v>
      </c>
      <c r="H545" s="900"/>
    </row>
    <row r="546" spans="1:8" ht="15">
      <c r="A546" s="161"/>
      <c r="B546" s="994" t="s">
        <v>1462</v>
      </c>
      <c r="C546" s="898">
        <v>2</v>
      </c>
      <c r="D546" s="946">
        <v>0.75</v>
      </c>
      <c r="E546" s="946"/>
      <c r="F546" s="946">
        <v>2.1</v>
      </c>
      <c r="G546" s="898">
        <f t="shared" si="27"/>
        <v>3.1500000000000004</v>
      </c>
      <c r="H546" s="900"/>
    </row>
    <row r="547" spans="1:8">
      <c r="A547" s="161"/>
      <c r="B547" s="886"/>
      <c r="C547" s="898"/>
      <c r="D547" s="946"/>
      <c r="E547" s="946"/>
      <c r="F547" s="946"/>
      <c r="G547" s="927">
        <f>SUM(G539:G546)</f>
        <v>31.634999999999991</v>
      </c>
      <c r="H547" s="900"/>
    </row>
    <row r="548" spans="1:8">
      <c r="A548" s="161"/>
      <c r="B548" s="886"/>
      <c r="C548" s="898"/>
      <c r="D548" s="946"/>
      <c r="E548" s="946"/>
      <c r="F548" s="946"/>
      <c r="G548" s="927">
        <f>G537-G547</f>
        <v>152.44500000000005</v>
      </c>
      <c r="H548" s="900"/>
    </row>
    <row r="549" spans="1:8">
      <c r="A549" s="161"/>
      <c r="B549" s="886"/>
      <c r="C549" s="898"/>
      <c r="D549" s="946"/>
      <c r="E549" s="946"/>
      <c r="F549" s="946"/>
      <c r="G549" s="889">
        <f>G548*10%</f>
        <v>15.244500000000006</v>
      </c>
      <c r="H549" s="900"/>
    </row>
    <row r="550" spans="1:8" ht="15">
      <c r="A550" s="161"/>
      <c r="B550" s="886"/>
      <c r="C550" s="898"/>
      <c r="D550" s="946"/>
      <c r="E550" s="946"/>
      <c r="F550" s="946"/>
      <c r="G550" s="944">
        <f>G549+G548</f>
        <v>167.68950000000007</v>
      </c>
      <c r="H550" s="934" t="s">
        <v>350</v>
      </c>
    </row>
    <row r="551" spans="1:8">
      <c r="A551" s="161"/>
      <c r="B551" s="936" t="s">
        <v>1214</v>
      </c>
      <c r="H551" s="900"/>
    </row>
    <row r="552" spans="1:8">
      <c r="A552" s="161"/>
      <c r="B552" s="936"/>
      <c r="C552" s="898">
        <v>2</v>
      </c>
      <c r="D552" s="946">
        <v>2.61</v>
      </c>
      <c r="E552" s="946"/>
      <c r="F552" s="946">
        <v>3</v>
      </c>
      <c r="G552" s="946">
        <f t="shared" ref="G552:G568" si="28">F552*D552*C552</f>
        <v>15.66</v>
      </c>
      <c r="H552" s="900"/>
    </row>
    <row r="553" spans="1:8">
      <c r="A553" s="161"/>
      <c r="B553" s="936"/>
      <c r="C553" s="898">
        <v>2</v>
      </c>
      <c r="D553" s="946">
        <v>0.41499999999999998</v>
      </c>
      <c r="E553" s="946"/>
      <c r="F553" s="946">
        <v>3</v>
      </c>
      <c r="G553" s="946">
        <f t="shared" si="28"/>
        <v>2.4899999999999998</v>
      </c>
      <c r="H553" s="900"/>
    </row>
    <row r="554" spans="1:8">
      <c r="A554" s="161"/>
      <c r="B554" s="936"/>
      <c r="C554" s="898">
        <v>2</v>
      </c>
      <c r="D554" s="946">
        <v>2.2850000000000001</v>
      </c>
      <c r="E554" s="946"/>
      <c r="F554" s="946">
        <v>3</v>
      </c>
      <c r="G554" s="946">
        <f t="shared" si="28"/>
        <v>13.71</v>
      </c>
      <c r="H554" s="900"/>
    </row>
    <row r="555" spans="1:8">
      <c r="A555" s="161"/>
      <c r="B555" s="936"/>
      <c r="C555" s="898">
        <v>2</v>
      </c>
      <c r="D555" s="946">
        <v>2.0150000000000001</v>
      </c>
      <c r="E555" s="946"/>
      <c r="F555" s="946">
        <v>3</v>
      </c>
      <c r="G555" s="946">
        <f t="shared" si="28"/>
        <v>12.09</v>
      </c>
      <c r="H555" s="900"/>
    </row>
    <row r="556" spans="1:8">
      <c r="A556" s="161"/>
      <c r="B556" s="936"/>
      <c r="C556" s="898">
        <v>2</v>
      </c>
      <c r="D556" s="946">
        <v>1.615</v>
      </c>
      <c r="E556" s="946"/>
      <c r="F556" s="946">
        <v>3</v>
      </c>
      <c r="G556" s="946">
        <f t="shared" si="28"/>
        <v>9.69</v>
      </c>
      <c r="H556" s="900"/>
    </row>
    <row r="557" spans="1:8">
      <c r="A557" s="161"/>
      <c r="B557" s="936"/>
      <c r="C557" s="898">
        <v>2</v>
      </c>
      <c r="D557" s="946">
        <v>4.0599999999999996</v>
      </c>
      <c r="E557" s="946"/>
      <c r="F557" s="946">
        <v>3</v>
      </c>
      <c r="G557" s="946">
        <f t="shared" si="28"/>
        <v>24.36</v>
      </c>
      <c r="H557" s="900"/>
    </row>
    <row r="558" spans="1:8">
      <c r="A558" s="161"/>
      <c r="B558" s="936"/>
      <c r="C558" s="898">
        <v>2</v>
      </c>
      <c r="D558" s="946">
        <v>0.755</v>
      </c>
      <c r="E558" s="946"/>
      <c r="F558" s="946">
        <v>3</v>
      </c>
      <c r="G558" s="946">
        <f t="shared" si="28"/>
        <v>4.53</v>
      </c>
      <c r="H558" s="900"/>
    </row>
    <row r="559" spans="1:8">
      <c r="A559" s="161"/>
      <c r="B559" s="936"/>
      <c r="C559" s="898">
        <v>2</v>
      </c>
      <c r="D559" s="946">
        <v>1.2350000000000001</v>
      </c>
      <c r="E559" s="946"/>
      <c r="F559" s="946">
        <v>3</v>
      </c>
      <c r="G559" s="946">
        <f t="shared" si="28"/>
        <v>7.41</v>
      </c>
      <c r="H559" s="900"/>
    </row>
    <row r="560" spans="1:8">
      <c r="A560" s="161"/>
      <c r="B560" s="936"/>
      <c r="C560" s="898">
        <v>2</v>
      </c>
      <c r="D560" s="946">
        <v>0.755</v>
      </c>
      <c r="E560" s="946"/>
      <c r="F560" s="946">
        <v>3</v>
      </c>
      <c r="G560" s="946">
        <f t="shared" si="28"/>
        <v>4.53</v>
      </c>
      <c r="H560" s="900"/>
    </row>
    <row r="561" spans="1:8">
      <c r="A561" s="161"/>
      <c r="B561" s="936"/>
      <c r="C561" s="898">
        <v>2</v>
      </c>
      <c r="D561" s="946">
        <v>4.3600000000000003</v>
      </c>
      <c r="E561" s="946"/>
      <c r="F561" s="946">
        <v>3</v>
      </c>
      <c r="G561" s="946">
        <f t="shared" si="28"/>
        <v>26.160000000000004</v>
      </c>
      <c r="H561" s="900"/>
    </row>
    <row r="562" spans="1:8">
      <c r="A562" s="161"/>
      <c r="B562" s="936"/>
      <c r="C562" s="898">
        <v>2</v>
      </c>
      <c r="D562" s="946">
        <v>1.61</v>
      </c>
      <c r="E562" s="946"/>
      <c r="F562" s="946">
        <v>3</v>
      </c>
      <c r="G562" s="946">
        <f t="shared" si="28"/>
        <v>9.66</v>
      </c>
      <c r="H562" s="900"/>
    </row>
    <row r="563" spans="1:8">
      <c r="A563" s="161"/>
      <c r="B563" s="936"/>
      <c r="C563" s="898">
        <v>2</v>
      </c>
      <c r="D563" s="946">
        <v>0.3</v>
      </c>
      <c r="E563" s="946"/>
      <c r="F563" s="946">
        <v>3</v>
      </c>
      <c r="G563" s="946">
        <f t="shared" si="28"/>
        <v>1.7999999999999998</v>
      </c>
      <c r="H563" s="900"/>
    </row>
    <row r="564" spans="1:8">
      <c r="A564" s="161"/>
      <c r="B564" s="936"/>
      <c r="C564" s="898">
        <v>2</v>
      </c>
      <c r="D564" s="946">
        <v>2.27</v>
      </c>
      <c r="E564" s="946"/>
      <c r="F564" s="946">
        <v>3</v>
      </c>
      <c r="G564" s="946">
        <f t="shared" si="28"/>
        <v>13.620000000000001</v>
      </c>
      <c r="H564" s="900"/>
    </row>
    <row r="565" spans="1:8">
      <c r="A565" s="161"/>
      <c r="B565" s="936"/>
      <c r="C565" s="898">
        <v>2</v>
      </c>
      <c r="D565" s="946">
        <v>2.1800000000000002</v>
      </c>
      <c r="E565" s="946"/>
      <c r="F565" s="946">
        <v>3</v>
      </c>
      <c r="G565" s="946">
        <f t="shared" si="28"/>
        <v>13.080000000000002</v>
      </c>
      <c r="H565" s="900"/>
    </row>
    <row r="566" spans="1:8">
      <c r="A566" s="161"/>
      <c r="B566" s="936"/>
      <c r="C566" s="898">
        <v>2</v>
      </c>
      <c r="D566" s="946">
        <v>1.6850000000000001</v>
      </c>
      <c r="E566" s="946"/>
      <c r="F566" s="946">
        <v>3</v>
      </c>
      <c r="G566" s="946">
        <f t="shared" si="28"/>
        <v>10.11</v>
      </c>
      <c r="H566" s="900"/>
    </row>
    <row r="567" spans="1:8">
      <c r="A567" s="161"/>
      <c r="B567" s="936"/>
      <c r="C567" s="898">
        <v>2</v>
      </c>
      <c r="D567" s="946">
        <v>1.1850000000000001</v>
      </c>
      <c r="E567" s="946"/>
      <c r="F567" s="946">
        <v>3</v>
      </c>
      <c r="G567" s="946">
        <f t="shared" si="28"/>
        <v>7.11</v>
      </c>
      <c r="H567" s="900"/>
    </row>
    <row r="568" spans="1:8">
      <c r="A568" s="161"/>
      <c r="B568" s="936"/>
      <c r="C568" s="898">
        <v>2</v>
      </c>
      <c r="D568" s="946">
        <v>1.345</v>
      </c>
      <c r="E568" s="946"/>
      <c r="F568" s="946">
        <v>3</v>
      </c>
      <c r="G568" s="946">
        <f t="shared" si="28"/>
        <v>8.07</v>
      </c>
      <c r="H568" s="900"/>
    </row>
    <row r="569" spans="1:8">
      <c r="A569" s="161"/>
      <c r="B569" s="886"/>
      <c r="C569" s="898"/>
      <c r="D569" s="946"/>
      <c r="E569" s="946"/>
      <c r="F569" s="946"/>
      <c r="G569" s="1031">
        <f>SUM(G552:G568)</f>
        <v>184.08000000000004</v>
      </c>
      <c r="H569" s="900"/>
    </row>
    <row r="570" spans="1:8" ht="15">
      <c r="A570" s="161"/>
      <c r="B570" s="994" t="s">
        <v>1230</v>
      </c>
      <c r="C570" s="898"/>
      <c r="D570" s="946"/>
      <c r="E570" s="946"/>
      <c r="F570" s="946"/>
      <c r="G570" s="984"/>
      <c r="H570" s="900"/>
    </row>
    <row r="571" spans="1:8" ht="15">
      <c r="A571" s="161"/>
      <c r="B571" s="994" t="s">
        <v>1458</v>
      </c>
      <c r="C571" s="898">
        <v>2</v>
      </c>
      <c r="D571" s="946">
        <v>1.7849999999999999</v>
      </c>
      <c r="E571" s="946"/>
      <c r="F571" s="946">
        <v>1.5</v>
      </c>
      <c r="G571" s="898">
        <f t="shared" ref="G571:G578" si="29">F571*D571*C571</f>
        <v>5.3549999999999995</v>
      </c>
      <c r="H571" s="900"/>
    </row>
    <row r="572" spans="1:8" ht="15">
      <c r="A572" s="161"/>
      <c r="B572" s="994"/>
      <c r="C572" s="898">
        <v>2</v>
      </c>
      <c r="D572" s="946">
        <v>1.385</v>
      </c>
      <c r="E572" s="946"/>
      <c r="F572" s="946">
        <v>1.5</v>
      </c>
      <c r="G572" s="898">
        <f t="shared" si="29"/>
        <v>4.1550000000000002</v>
      </c>
      <c r="H572" s="900"/>
    </row>
    <row r="573" spans="1:8" ht="15">
      <c r="A573" s="161"/>
      <c r="B573" s="994"/>
      <c r="C573" s="898">
        <v>2</v>
      </c>
      <c r="D573" s="946">
        <v>1.7849999999999999</v>
      </c>
      <c r="E573" s="946"/>
      <c r="F573" s="946">
        <v>1.5</v>
      </c>
      <c r="G573" s="898">
        <f t="shared" si="29"/>
        <v>5.3549999999999995</v>
      </c>
      <c r="H573" s="900"/>
    </row>
    <row r="574" spans="1:8" ht="15">
      <c r="A574" s="161"/>
      <c r="B574" s="994" t="s">
        <v>1459</v>
      </c>
      <c r="C574" s="898">
        <v>2</v>
      </c>
      <c r="D574" s="946">
        <v>1.24</v>
      </c>
      <c r="E574" s="946"/>
      <c r="F574" s="946">
        <v>1.5</v>
      </c>
      <c r="G574" s="898">
        <f t="shared" si="29"/>
        <v>3.7199999999999998</v>
      </c>
      <c r="H574" s="900"/>
    </row>
    <row r="575" spans="1:8" ht="15">
      <c r="A575" s="161"/>
      <c r="B575" s="994"/>
      <c r="C575" s="898">
        <v>2</v>
      </c>
      <c r="D575" s="946">
        <v>1.2</v>
      </c>
      <c r="E575" s="946"/>
      <c r="F575" s="946">
        <v>1.5</v>
      </c>
      <c r="G575" s="898">
        <f t="shared" si="29"/>
        <v>3.5999999999999996</v>
      </c>
      <c r="H575" s="900"/>
    </row>
    <row r="576" spans="1:8" ht="15">
      <c r="A576" s="161"/>
      <c r="B576" s="994" t="s">
        <v>1461</v>
      </c>
      <c r="C576" s="898">
        <v>2</v>
      </c>
      <c r="D576" s="946">
        <v>0.75</v>
      </c>
      <c r="E576" s="946"/>
      <c r="F576" s="946">
        <v>2.1</v>
      </c>
      <c r="G576" s="898">
        <f t="shared" si="29"/>
        <v>3.1500000000000004</v>
      </c>
      <c r="H576" s="900"/>
    </row>
    <row r="577" spans="1:8" ht="15">
      <c r="A577" s="161"/>
      <c r="B577" s="994"/>
      <c r="C577" s="898">
        <v>2</v>
      </c>
      <c r="D577" s="946">
        <v>0.75</v>
      </c>
      <c r="E577" s="946"/>
      <c r="F577" s="946">
        <v>2.1</v>
      </c>
      <c r="G577" s="898">
        <f t="shared" si="29"/>
        <v>3.1500000000000004</v>
      </c>
      <c r="H577" s="900"/>
    </row>
    <row r="578" spans="1:8" ht="15">
      <c r="A578" s="161"/>
      <c r="B578" s="994" t="s">
        <v>1462</v>
      </c>
      <c r="C578" s="898">
        <v>2</v>
      </c>
      <c r="D578" s="946">
        <v>0.75</v>
      </c>
      <c r="E578" s="946"/>
      <c r="F578" s="946">
        <v>2.1</v>
      </c>
      <c r="G578" s="898">
        <f t="shared" si="29"/>
        <v>3.1500000000000004</v>
      </c>
      <c r="H578" s="900"/>
    </row>
    <row r="579" spans="1:8">
      <c r="A579" s="161"/>
      <c r="B579" s="886"/>
      <c r="C579" s="898"/>
      <c r="D579" s="946"/>
      <c r="E579" s="946"/>
      <c r="F579" s="946"/>
      <c r="G579" s="927">
        <f>SUM(G571:G578)</f>
        <v>31.634999999999991</v>
      </c>
      <c r="H579" s="900"/>
    </row>
    <row r="580" spans="1:8" ht="15">
      <c r="A580" s="161"/>
      <c r="B580" s="936"/>
      <c r="C580" s="849"/>
      <c r="D580" s="890"/>
      <c r="E580" s="947"/>
      <c r="F580" s="947"/>
      <c r="G580" s="1028">
        <f>G569-G579</f>
        <v>152.44500000000005</v>
      </c>
      <c r="H580" s="926"/>
    </row>
    <row r="581" spans="1:8">
      <c r="A581" s="161"/>
      <c r="B581" s="936"/>
      <c r="C581" s="849"/>
      <c r="D581" s="890"/>
      <c r="E581" s="947"/>
      <c r="F581" s="947"/>
      <c r="G581" s="889">
        <f>G580*10%</f>
        <v>15.244500000000006</v>
      </c>
      <c r="H581" s="926"/>
    </row>
    <row r="582" spans="1:8" ht="15">
      <c r="A582" s="161"/>
      <c r="B582" s="1032"/>
      <c r="C582" s="898"/>
      <c r="D582" s="946"/>
      <c r="E582" s="946"/>
      <c r="F582" s="946"/>
      <c r="G582" s="894">
        <f>G581+G580</f>
        <v>167.68950000000007</v>
      </c>
      <c r="H582" s="934" t="s">
        <v>350</v>
      </c>
    </row>
    <row r="583" spans="1:8" ht="15">
      <c r="A583" s="161"/>
      <c r="B583" s="936" t="s">
        <v>1164</v>
      </c>
      <c r="C583" s="898">
        <v>2</v>
      </c>
      <c r="D583" s="946">
        <v>2.61</v>
      </c>
      <c r="E583" s="946"/>
      <c r="F583" s="946">
        <v>1.1499999999999999</v>
      </c>
      <c r="G583" s="946">
        <f t="shared" ref="G583:G600" si="30">F583*D583*C583</f>
        <v>6.0029999999999992</v>
      </c>
      <c r="H583" s="934"/>
    </row>
    <row r="584" spans="1:8" ht="15">
      <c r="A584" s="161"/>
      <c r="B584" s="936"/>
      <c r="C584" s="898">
        <v>2</v>
      </c>
      <c r="D584" s="946">
        <v>0.41499999999999998</v>
      </c>
      <c r="E584" s="946"/>
      <c r="F584" s="946">
        <v>1.1499999999999999</v>
      </c>
      <c r="G584" s="946">
        <f t="shared" si="30"/>
        <v>0.9544999999999999</v>
      </c>
      <c r="H584" s="934"/>
    </row>
    <row r="585" spans="1:8" ht="15">
      <c r="A585" s="161"/>
      <c r="B585" s="936"/>
      <c r="C585" s="898">
        <v>2</v>
      </c>
      <c r="D585" s="946">
        <v>2.2850000000000001</v>
      </c>
      <c r="E585" s="946"/>
      <c r="F585" s="946">
        <v>1.1499999999999999</v>
      </c>
      <c r="G585" s="946">
        <f t="shared" si="30"/>
        <v>5.2554999999999996</v>
      </c>
      <c r="H585" s="934"/>
    </row>
    <row r="586" spans="1:8" ht="15">
      <c r="A586" s="161"/>
      <c r="B586" s="936"/>
      <c r="C586" s="898">
        <v>2</v>
      </c>
      <c r="D586" s="946">
        <v>2.0150000000000001</v>
      </c>
      <c r="E586" s="946"/>
      <c r="F586" s="946">
        <v>1.1499999999999999</v>
      </c>
      <c r="G586" s="946">
        <f t="shared" si="30"/>
        <v>4.6345000000000001</v>
      </c>
      <c r="H586" s="934"/>
    </row>
    <row r="587" spans="1:8" ht="15">
      <c r="A587" s="161"/>
      <c r="B587" s="936"/>
      <c r="C587" s="898">
        <v>2</v>
      </c>
      <c r="D587" s="946">
        <v>1.615</v>
      </c>
      <c r="E587" s="946"/>
      <c r="F587" s="946">
        <v>1.1499999999999999</v>
      </c>
      <c r="G587" s="946">
        <f t="shared" si="30"/>
        <v>3.7144999999999997</v>
      </c>
      <c r="H587" s="934"/>
    </row>
    <row r="588" spans="1:8" ht="15">
      <c r="A588" s="161"/>
      <c r="B588" s="936"/>
      <c r="C588" s="898">
        <v>2</v>
      </c>
      <c r="D588" s="946">
        <v>4.0599999999999996</v>
      </c>
      <c r="E588" s="946"/>
      <c r="F588" s="946">
        <v>1.1499999999999999</v>
      </c>
      <c r="G588" s="946">
        <f t="shared" si="30"/>
        <v>9.3379999999999992</v>
      </c>
      <c r="H588" s="934"/>
    </row>
    <row r="589" spans="1:8" ht="15">
      <c r="A589" s="161"/>
      <c r="B589" s="936"/>
      <c r="C589" s="898">
        <v>2</v>
      </c>
      <c r="D589" s="946">
        <v>0.755</v>
      </c>
      <c r="E589" s="946"/>
      <c r="F589" s="946">
        <v>1.1499999999999999</v>
      </c>
      <c r="G589" s="946">
        <f t="shared" si="30"/>
        <v>1.7364999999999999</v>
      </c>
      <c r="H589" s="934"/>
    </row>
    <row r="590" spans="1:8" ht="15">
      <c r="A590" s="161"/>
      <c r="B590" s="936"/>
      <c r="C590" s="898">
        <v>2</v>
      </c>
      <c r="D590" s="946">
        <v>1.2350000000000001</v>
      </c>
      <c r="E590" s="946"/>
      <c r="F590" s="946">
        <v>1.1499999999999999</v>
      </c>
      <c r="G590" s="946">
        <f t="shared" si="30"/>
        <v>2.8405</v>
      </c>
      <c r="H590" s="934"/>
    </row>
    <row r="591" spans="1:8" ht="15">
      <c r="A591" s="161"/>
      <c r="B591" s="936"/>
      <c r="C591" s="898">
        <v>2</v>
      </c>
      <c r="D591" s="946">
        <v>0.755</v>
      </c>
      <c r="E591" s="946"/>
      <c r="F591" s="946">
        <v>1.1499999999999999</v>
      </c>
      <c r="G591" s="946">
        <f t="shared" si="30"/>
        <v>1.7364999999999999</v>
      </c>
      <c r="H591" s="934"/>
    </row>
    <row r="592" spans="1:8" ht="15">
      <c r="A592" s="161"/>
      <c r="B592" s="936"/>
      <c r="C592" s="898">
        <v>2</v>
      </c>
      <c r="D592" s="946">
        <v>4.3600000000000003</v>
      </c>
      <c r="E592" s="946"/>
      <c r="F592" s="946">
        <v>1.1499999999999999</v>
      </c>
      <c r="G592" s="946">
        <f t="shared" si="30"/>
        <v>10.028</v>
      </c>
      <c r="H592" s="934"/>
    </row>
    <row r="593" spans="1:8" ht="15">
      <c r="A593" s="161"/>
      <c r="B593" s="936"/>
      <c r="C593" s="898">
        <v>2</v>
      </c>
      <c r="D593" s="946">
        <v>1.61</v>
      </c>
      <c r="E593" s="946"/>
      <c r="F593" s="946">
        <v>1.1499999999999999</v>
      </c>
      <c r="G593" s="946">
        <f t="shared" si="30"/>
        <v>3.7029999999999998</v>
      </c>
      <c r="H593" s="934"/>
    </row>
    <row r="594" spans="1:8" ht="15">
      <c r="A594" s="161"/>
      <c r="B594" s="936"/>
      <c r="C594" s="898">
        <v>2</v>
      </c>
      <c r="D594" s="946">
        <v>0.3</v>
      </c>
      <c r="E594" s="946"/>
      <c r="F594" s="946">
        <v>1.1499999999999999</v>
      </c>
      <c r="G594" s="946">
        <f t="shared" si="30"/>
        <v>0.69</v>
      </c>
      <c r="H594" s="934"/>
    </row>
    <row r="595" spans="1:8" ht="15">
      <c r="A595" s="161"/>
      <c r="B595" s="936"/>
      <c r="C595" s="898">
        <v>2</v>
      </c>
      <c r="D595" s="946">
        <v>2.27</v>
      </c>
      <c r="E595" s="946"/>
      <c r="F595" s="946">
        <v>1.1499999999999999</v>
      </c>
      <c r="G595" s="946">
        <f t="shared" si="30"/>
        <v>5.2209999999999992</v>
      </c>
      <c r="H595" s="934"/>
    </row>
    <row r="596" spans="1:8" ht="15">
      <c r="A596" s="161"/>
      <c r="B596" s="936"/>
      <c r="C596" s="898">
        <v>2</v>
      </c>
      <c r="D596" s="946">
        <v>2.1800000000000002</v>
      </c>
      <c r="E596" s="946"/>
      <c r="F596" s="946">
        <v>1.1499999999999999</v>
      </c>
      <c r="G596" s="946">
        <f t="shared" si="30"/>
        <v>5.0140000000000002</v>
      </c>
      <c r="H596" s="934"/>
    </row>
    <row r="597" spans="1:8" ht="15">
      <c r="A597" s="161"/>
      <c r="B597" s="936"/>
      <c r="C597" s="898">
        <v>2</v>
      </c>
      <c r="D597" s="946">
        <v>1.6850000000000001</v>
      </c>
      <c r="E597" s="946"/>
      <c r="F597" s="946">
        <v>1.1499999999999999</v>
      </c>
      <c r="G597" s="946">
        <f t="shared" si="30"/>
        <v>3.8754999999999997</v>
      </c>
      <c r="H597" s="934"/>
    </row>
    <row r="598" spans="1:8" ht="15">
      <c r="A598" s="161"/>
      <c r="B598" s="936"/>
      <c r="C598" s="898">
        <v>2</v>
      </c>
      <c r="D598" s="946">
        <v>1.1850000000000001</v>
      </c>
      <c r="E598" s="946"/>
      <c r="F598" s="946">
        <v>1.1499999999999999</v>
      </c>
      <c r="G598" s="946">
        <f t="shared" si="30"/>
        <v>2.7254999999999998</v>
      </c>
      <c r="H598" s="934"/>
    </row>
    <row r="599" spans="1:8" ht="15">
      <c r="A599" s="161"/>
      <c r="B599" s="936"/>
      <c r="C599" s="898">
        <v>2</v>
      </c>
      <c r="D599" s="946">
        <v>1.345</v>
      </c>
      <c r="E599" s="946"/>
      <c r="F599" s="946">
        <v>1.1499999999999999</v>
      </c>
      <c r="G599" s="946">
        <f t="shared" si="30"/>
        <v>3.0934999999999997</v>
      </c>
      <c r="H599" s="934"/>
    </row>
    <row r="600" spans="1:8" ht="15">
      <c r="A600" s="161"/>
      <c r="B600" s="936" t="s">
        <v>1161</v>
      </c>
      <c r="C600" s="899">
        <v>2</v>
      </c>
      <c r="D600" s="947">
        <v>4.9800000000000004</v>
      </c>
      <c r="E600" s="947"/>
      <c r="F600" s="947">
        <v>2.5</v>
      </c>
      <c r="G600" s="1033">
        <f t="shared" si="30"/>
        <v>24.900000000000002</v>
      </c>
      <c r="H600" s="926"/>
    </row>
    <row r="601" spans="1:8" ht="15">
      <c r="A601" s="161"/>
      <c r="B601" s="936"/>
      <c r="C601" s="899"/>
      <c r="D601" s="947"/>
      <c r="E601" s="947"/>
      <c r="F601" s="947"/>
      <c r="G601" s="1028">
        <f>SUM(G583:G600)</f>
        <v>95.463999999999999</v>
      </c>
      <c r="H601" s="926"/>
    </row>
    <row r="602" spans="1:8" ht="15">
      <c r="A602" s="161"/>
      <c r="B602" s="936" t="s">
        <v>1021</v>
      </c>
      <c r="C602" s="899">
        <v>1</v>
      </c>
      <c r="D602" s="947">
        <v>1</v>
      </c>
      <c r="E602" s="947"/>
      <c r="F602" s="947">
        <v>2.1</v>
      </c>
      <c r="G602" s="1028">
        <f>F602*D602*C602</f>
        <v>2.1</v>
      </c>
      <c r="H602" s="926"/>
    </row>
    <row r="603" spans="1:8" ht="15">
      <c r="A603" s="161"/>
      <c r="B603" s="936"/>
      <c r="C603" s="899"/>
      <c r="D603" s="947"/>
      <c r="E603" s="947"/>
      <c r="F603" s="947"/>
      <c r="G603" s="1028">
        <f>G601-G602</f>
        <v>93.364000000000004</v>
      </c>
      <c r="H603" s="926"/>
    </row>
    <row r="604" spans="1:8">
      <c r="A604" s="161"/>
      <c r="B604" s="936"/>
      <c r="C604" s="899"/>
      <c r="D604" s="947"/>
      <c r="E604" s="947"/>
      <c r="F604" s="947"/>
      <c r="G604" s="889">
        <f>G603*10%</f>
        <v>9.3364000000000011</v>
      </c>
      <c r="H604" s="926"/>
    </row>
    <row r="605" spans="1:8">
      <c r="A605" s="161"/>
      <c r="B605" s="855"/>
      <c r="C605" s="849"/>
      <c r="D605" s="1030"/>
      <c r="E605" s="1030"/>
      <c r="F605" s="947"/>
      <c r="G605" s="944">
        <f>G604+G603</f>
        <v>102.7004</v>
      </c>
      <c r="H605" s="926" t="s">
        <v>32</v>
      </c>
    </row>
    <row r="606" spans="1:8">
      <c r="A606" s="161">
        <v>13</v>
      </c>
      <c r="B606" s="884" t="s">
        <v>1166</v>
      </c>
      <c r="C606" s="898"/>
      <c r="D606" s="1000"/>
      <c r="E606" s="947"/>
      <c r="F606" s="1000"/>
      <c r="G606" s="908"/>
      <c r="H606" s="900"/>
    </row>
    <row r="607" spans="1:8" ht="15">
      <c r="A607" s="161"/>
      <c r="B607" s="994" t="s">
        <v>1051</v>
      </c>
      <c r="C607" s="899"/>
      <c r="D607" s="946"/>
      <c r="E607" s="946"/>
      <c r="F607" s="946"/>
      <c r="G607" s="984"/>
      <c r="H607" s="900"/>
    </row>
    <row r="608" spans="1:8" ht="15">
      <c r="A608" s="161"/>
      <c r="B608" s="1034" t="s">
        <v>1463</v>
      </c>
      <c r="C608" s="899">
        <v>2</v>
      </c>
      <c r="D608" s="947">
        <v>3.3</v>
      </c>
      <c r="E608" s="947">
        <v>3.6</v>
      </c>
      <c r="G608" s="927">
        <f>E608*D608*C608</f>
        <v>23.759999999999998</v>
      </c>
      <c r="H608" s="900"/>
    </row>
    <row r="609" spans="1:8" ht="15">
      <c r="A609" s="161"/>
      <c r="B609" s="1034" t="s">
        <v>1454</v>
      </c>
      <c r="C609" s="899">
        <v>2</v>
      </c>
      <c r="D609" s="947">
        <v>3.2149999999999999</v>
      </c>
      <c r="E609" s="947">
        <v>4.8</v>
      </c>
      <c r="G609" s="927">
        <f t="shared" ref="G609:G615" si="31">E609*D609*C609</f>
        <v>30.863999999999997</v>
      </c>
      <c r="H609" s="900"/>
    </row>
    <row r="610" spans="1:8" ht="15">
      <c r="A610" s="161"/>
      <c r="B610" s="1034" t="s">
        <v>1464</v>
      </c>
      <c r="C610" s="899">
        <v>2</v>
      </c>
      <c r="D610" s="947">
        <v>1.35</v>
      </c>
      <c r="E610" s="947">
        <v>1.65</v>
      </c>
      <c r="G610" s="927">
        <f t="shared" si="31"/>
        <v>4.4550000000000001</v>
      </c>
      <c r="H610" s="900"/>
    </row>
    <row r="611" spans="1:8" ht="15">
      <c r="A611" s="161"/>
      <c r="B611" s="1034" t="s">
        <v>1455</v>
      </c>
      <c r="C611" s="899">
        <v>2</v>
      </c>
      <c r="D611" s="947">
        <v>1.0149999999999999</v>
      </c>
      <c r="E611" s="947">
        <v>1.65</v>
      </c>
      <c r="F611" s="947"/>
      <c r="G611" s="927">
        <f t="shared" si="31"/>
        <v>3.3494999999999995</v>
      </c>
      <c r="H611" s="900"/>
    </row>
    <row r="612" spans="1:8" ht="15">
      <c r="A612" s="161"/>
      <c r="B612" s="1034" t="s">
        <v>1465</v>
      </c>
      <c r="C612" s="899">
        <v>2</v>
      </c>
      <c r="D612" s="947">
        <v>3.42</v>
      </c>
      <c r="E612" s="947">
        <v>3.2480000000000002</v>
      </c>
      <c r="F612" s="947"/>
      <c r="G612" s="927">
        <f t="shared" si="31"/>
        <v>22.21632</v>
      </c>
      <c r="H612" s="900"/>
    </row>
    <row r="613" spans="1:8" ht="15">
      <c r="A613" s="161"/>
      <c r="B613" s="1034" t="s">
        <v>1453</v>
      </c>
      <c r="C613" s="899">
        <v>2</v>
      </c>
      <c r="D613" s="947">
        <v>2.17</v>
      </c>
      <c r="E613" s="947">
        <v>1.0740000000000001</v>
      </c>
      <c r="F613" s="947"/>
      <c r="G613" s="927">
        <f t="shared" si="31"/>
        <v>4.6611599999999997</v>
      </c>
      <c r="H613" s="900"/>
    </row>
    <row r="614" spans="1:8" ht="15">
      <c r="A614" s="161"/>
      <c r="B614" s="1034" t="s">
        <v>1433</v>
      </c>
      <c r="C614" s="899">
        <v>2</v>
      </c>
      <c r="D614" s="947">
        <v>1.8</v>
      </c>
      <c r="E614" s="947">
        <v>2.5150000000000001</v>
      </c>
      <c r="F614" s="947"/>
      <c r="G614" s="927">
        <f t="shared" si="31"/>
        <v>9.0540000000000003</v>
      </c>
      <c r="H614" s="900"/>
    </row>
    <row r="615" spans="1:8" ht="15">
      <c r="A615" s="161"/>
      <c r="B615" s="1034"/>
      <c r="C615" s="899">
        <v>1</v>
      </c>
      <c r="D615" s="947">
        <v>2.23</v>
      </c>
      <c r="E615" s="947">
        <v>4.7300000000000004</v>
      </c>
      <c r="F615" s="947"/>
      <c r="G615" s="927">
        <f t="shared" si="31"/>
        <v>10.5479</v>
      </c>
      <c r="H615" s="900"/>
    </row>
    <row r="616" spans="1:8">
      <c r="A616" s="161"/>
      <c r="B616" s="855" t="s">
        <v>975</v>
      </c>
      <c r="C616" s="860"/>
      <c r="D616" s="946"/>
      <c r="E616" s="946"/>
      <c r="F616" s="946"/>
      <c r="G616" s="927"/>
      <c r="H616" s="900"/>
    </row>
    <row r="617" spans="1:8" ht="15">
      <c r="A617" s="161"/>
      <c r="B617" s="936" t="s">
        <v>1224</v>
      </c>
      <c r="C617" s="899">
        <v>2</v>
      </c>
      <c r="D617" s="947">
        <v>2.0150000000000001</v>
      </c>
      <c r="E617" s="947">
        <v>0.6</v>
      </c>
      <c r="F617" s="947"/>
      <c r="G617" s="928">
        <f>E617*D617*C617</f>
        <v>2.4180000000000001</v>
      </c>
      <c r="H617" s="900"/>
    </row>
    <row r="618" spans="1:8" ht="15">
      <c r="A618" s="161"/>
      <c r="B618" s="936" t="s">
        <v>1361</v>
      </c>
      <c r="C618" s="899">
        <v>1</v>
      </c>
      <c r="D618" s="947">
        <v>1.6850000000000001</v>
      </c>
      <c r="E618" s="947">
        <v>0.6</v>
      </c>
      <c r="F618" s="947"/>
      <c r="G618" s="928">
        <f>E618*D618*C618</f>
        <v>1.0109999999999999</v>
      </c>
      <c r="H618" s="900"/>
    </row>
    <row r="619" spans="1:8" ht="15">
      <c r="A619" s="161"/>
      <c r="B619" s="936" t="s">
        <v>648</v>
      </c>
      <c r="C619" s="899">
        <v>2</v>
      </c>
      <c r="D619" s="947">
        <v>1.05</v>
      </c>
      <c r="E619" s="947">
        <v>0.6</v>
      </c>
      <c r="F619" s="947"/>
      <c r="G619" s="928">
        <f>E619*D619*C619</f>
        <v>1.26</v>
      </c>
      <c r="H619" s="900"/>
    </row>
    <row r="620" spans="1:8" ht="15">
      <c r="A620" s="161"/>
      <c r="B620" s="855"/>
      <c r="C620" s="860"/>
      <c r="D620" s="863"/>
      <c r="E620" s="863"/>
      <c r="F620" s="947"/>
      <c r="G620" s="928">
        <f>SUM(G608:G619)</f>
        <v>113.59688</v>
      </c>
      <c r="H620" s="900"/>
    </row>
    <row r="621" spans="1:8">
      <c r="A621" s="161"/>
      <c r="B621" s="855"/>
      <c r="C621" s="898"/>
      <c r="D621" s="863"/>
      <c r="E621" s="863"/>
      <c r="F621" s="947"/>
      <c r="G621" s="889">
        <f>G620*10%</f>
        <v>11.359688</v>
      </c>
      <c r="H621" s="900"/>
    </row>
    <row r="622" spans="1:8" ht="15">
      <c r="A622" s="161"/>
      <c r="B622" s="855"/>
      <c r="C622" s="898"/>
      <c r="D622" s="946"/>
      <c r="E622" s="946"/>
      <c r="F622" s="946"/>
      <c r="G622" s="894">
        <f>G621+G620</f>
        <v>124.956568</v>
      </c>
      <c r="H622" s="934" t="s">
        <v>32</v>
      </c>
    </row>
    <row r="623" spans="1:8">
      <c r="A623" s="161"/>
      <c r="B623" s="968" t="s">
        <v>1214</v>
      </c>
      <c r="C623" s="899"/>
      <c r="D623" s="1000"/>
      <c r="E623" s="947"/>
      <c r="F623" s="946"/>
      <c r="G623" s="927"/>
      <c r="H623" s="900"/>
    </row>
    <row r="624" spans="1:8" ht="15">
      <c r="A624" s="161"/>
      <c r="B624" s="985" t="s">
        <v>1463</v>
      </c>
      <c r="C624" s="898">
        <v>2</v>
      </c>
      <c r="D624" s="947">
        <v>3.3</v>
      </c>
      <c r="E624" s="947">
        <v>3.6</v>
      </c>
      <c r="G624" s="927">
        <f>E624*D624*C624</f>
        <v>23.759999999999998</v>
      </c>
      <c r="H624" s="900"/>
    </row>
    <row r="625" spans="1:8" ht="15">
      <c r="A625" s="161"/>
      <c r="B625" s="985" t="s">
        <v>1454</v>
      </c>
      <c r="C625" s="898">
        <v>2</v>
      </c>
      <c r="D625" s="947">
        <v>3.2149999999999999</v>
      </c>
      <c r="E625" s="947">
        <v>4.8</v>
      </c>
      <c r="G625" s="927">
        <f t="shared" ref="G625:G631" si="32">E625*D625*C625</f>
        <v>30.863999999999997</v>
      </c>
      <c r="H625" s="900"/>
    </row>
    <row r="626" spans="1:8" ht="15">
      <c r="A626" s="161"/>
      <c r="B626" s="985" t="s">
        <v>1464</v>
      </c>
      <c r="C626" s="898">
        <v>2</v>
      </c>
      <c r="D626" s="947">
        <v>1.35</v>
      </c>
      <c r="E626" s="947">
        <v>1.65</v>
      </c>
      <c r="G626" s="927">
        <f t="shared" si="32"/>
        <v>4.4550000000000001</v>
      </c>
      <c r="H626" s="900"/>
    </row>
    <row r="627" spans="1:8" ht="15">
      <c r="A627" s="161"/>
      <c r="B627" s="985" t="s">
        <v>1455</v>
      </c>
      <c r="C627" s="898">
        <v>2</v>
      </c>
      <c r="D627" s="947">
        <v>1.0149999999999999</v>
      </c>
      <c r="E627" s="947">
        <v>1.65</v>
      </c>
      <c r="F627" s="947"/>
      <c r="G627" s="927">
        <f t="shared" si="32"/>
        <v>3.3494999999999995</v>
      </c>
      <c r="H627" s="900"/>
    </row>
    <row r="628" spans="1:8" ht="15">
      <c r="A628" s="161"/>
      <c r="B628" s="985" t="s">
        <v>1465</v>
      </c>
      <c r="C628" s="898">
        <v>2</v>
      </c>
      <c r="D628" s="947">
        <v>3.42</v>
      </c>
      <c r="E628" s="947">
        <v>3.2480000000000002</v>
      </c>
      <c r="F628" s="947"/>
      <c r="G628" s="927">
        <f t="shared" si="32"/>
        <v>22.21632</v>
      </c>
      <c r="H628" s="900"/>
    </row>
    <row r="629" spans="1:8" ht="15">
      <c r="A629" s="161"/>
      <c r="B629" s="985" t="s">
        <v>1453</v>
      </c>
      <c r="C629" s="898">
        <v>2</v>
      </c>
      <c r="D629" s="947">
        <v>2.17</v>
      </c>
      <c r="E629" s="947">
        <v>1.0740000000000001</v>
      </c>
      <c r="F629" s="947"/>
      <c r="G629" s="927">
        <f t="shared" si="32"/>
        <v>4.6611599999999997</v>
      </c>
      <c r="H629" s="900"/>
    </row>
    <row r="630" spans="1:8" ht="15">
      <c r="A630" s="161"/>
      <c r="B630" s="985" t="s">
        <v>1433</v>
      </c>
      <c r="C630" s="898">
        <v>2</v>
      </c>
      <c r="D630" s="947">
        <v>1.8</v>
      </c>
      <c r="E630" s="947">
        <v>2.5150000000000001</v>
      </c>
      <c r="F630" s="947"/>
      <c r="G630" s="927">
        <f t="shared" si="32"/>
        <v>9.0540000000000003</v>
      </c>
      <c r="H630" s="900"/>
    </row>
    <row r="631" spans="1:8" ht="15">
      <c r="A631" s="161"/>
      <c r="B631" s="985"/>
      <c r="C631" s="898">
        <v>1</v>
      </c>
      <c r="D631" s="947">
        <v>2.23</v>
      </c>
      <c r="E631" s="947">
        <v>4.7300000000000004</v>
      </c>
      <c r="F631" s="947"/>
      <c r="G631" s="927">
        <f t="shared" si="32"/>
        <v>10.5479</v>
      </c>
      <c r="H631" s="900"/>
    </row>
    <row r="632" spans="1:8">
      <c r="A632" s="161"/>
      <c r="B632" s="988" t="s">
        <v>975</v>
      </c>
      <c r="C632" s="860"/>
      <c r="D632" s="946"/>
      <c r="E632" s="946"/>
      <c r="F632" s="946"/>
      <c r="G632" s="927"/>
      <c r="H632" s="900"/>
    </row>
    <row r="633" spans="1:8" ht="15">
      <c r="A633" s="161"/>
      <c r="B633" s="1035" t="s">
        <v>1224</v>
      </c>
      <c r="C633" s="898">
        <v>2</v>
      </c>
      <c r="D633" s="947">
        <v>2.0150000000000001</v>
      </c>
      <c r="E633" s="947">
        <v>0.6</v>
      </c>
      <c r="F633" s="947"/>
      <c r="G633" s="928">
        <f>E633*D633*C633</f>
        <v>2.4180000000000001</v>
      </c>
      <c r="H633" s="900"/>
    </row>
    <row r="634" spans="1:8" ht="15">
      <c r="A634" s="161"/>
      <c r="B634" s="1035" t="s">
        <v>1361</v>
      </c>
      <c r="C634" s="898">
        <v>1</v>
      </c>
      <c r="D634" s="947">
        <v>1.6850000000000001</v>
      </c>
      <c r="E634" s="947">
        <v>0.6</v>
      </c>
      <c r="F634" s="947"/>
      <c r="G634" s="928">
        <f>E634*D634*C634</f>
        <v>1.0109999999999999</v>
      </c>
      <c r="H634" s="900"/>
    </row>
    <row r="635" spans="1:8" ht="15">
      <c r="A635" s="161"/>
      <c r="B635" s="1035" t="s">
        <v>648</v>
      </c>
      <c r="C635" s="898">
        <v>2</v>
      </c>
      <c r="D635" s="947">
        <v>1.05</v>
      </c>
      <c r="E635" s="947">
        <v>0.6</v>
      </c>
      <c r="F635" s="947"/>
      <c r="G635" s="928">
        <f>E635*D635*C635</f>
        <v>1.26</v>
      </c>
      <c r="H635" s="900"/>
    </row>
    <row r="636" spans="1:8" ht="15">
      <c r="A636" s="161"/>
      <c r="B636" s="939"/>
      <c r="C636" s="860"/>
      <c r="D636" s="863"/>
      <c r="E636" s="863"/>
      <c r="F636" s="947"/>
      <c r="G636" s="928">
        <f>SUM(G624:G635)</f>
        <v>113.59688</v>
      </c>
      <c r="H636" s="900"/>
    </row>
    <row r="637" spans="1:8">
      <c r="A637" s="161"/>
      <c r="B637" s="939"/>
      <c r="C637" s="898"/>
      <c r="D637" s="863"/>
      <c r="E637" s="863"/>
      <c r="F637" s="947"/>
      <c r="G637" s="889">
        <f>G636*10%</f>
        <v>11.359688</v>
      </c>
      <c r="H637" s="900"/>
    </row>
    <row r="638" spans="1:8">
      <c r="A638" s="161"/>
      <c r="B638" s="886"/>
      <c r="C638" s="898"/>
      <c r="D638" s="946"/>
      <c r="E638" s="946"/>
      <c r="F638" s="946"/>
      <c r="G638" s="894">
        <f>G637+G636</f>
        <v>124.956568</v>
      </c>
      <c r="H638" s="926" t="s">
        <v>32</v>
      </c>
    </row>
    <row r="639" spans="1:8">
      <c r="A639" s="161"/>
      <c r="B639" s="886"/>
      <c r="D639" s="946"/>
      <c r="E639" s="946"/>
      <c r="F639" s="946"/>
      <c r="G639" s="973"/>
      <c r="H639" s="900"/>
    </row>
    <row r="640" spans="1:8" ht="15">
      <c r="A640" s="161"/>
      <c r="B640" s="936" t="s">
        <v>1161</v>
      </c>
      <c r="C640" s="898">
        <v>1</v>
      </c>
      <c r="D640" s="946">
        <v>2.23</v>
      </c>
      <c r="E640" s="946">
        <v>4.9800000000000004</v>
      </c>
      <c r="F640" s="1000"/>
      <c r="G640" s="1028">
        <f>E640*D640*C640</f>
        <v>11.105400000000001</v>
      </c>
      <c r="H640" s="926"/>
    </row>
    <row r="641" spans="1:8">
      <c r="A641" s="161"/>
      <c r="B641" s="886"/>
      <c r="C641" s="898"/>
      <c r="D641" s="946"/>
      <c r="E641" s="946"/>
      <c r="F641" s="946"/>
      <c r="G641" s="889">
        <f>G640*10%</f>
        <v>1.1105400000000001</v>
      </c>
      <c r="H641" s="900"/>
    </row>
    <row r="642" spans="1:8">
      <c r="A642" s="161"/>
      <c r="B642" s="936"/>
      <c r="C642" s="886"/>
      <c r="D642" s="946"/>
      <c r="E642" s="946"/>
      <c r="F642" s="1000"/>
      <c r="G642" s="894">
        <f>G641+G640</f>
        <v>12.215940000000002</v>
      </c>
      <c r="H642" s="926" t="s">
        <v>32</v>
      </c>
    </row>
    <row r="643" spans="1:8" ht="15">
      <c r="A643" s="161"/>
      <c r="B643" s="855"/>
      <c r="C643" s="849">
        <v>1</v>
      </c>
      <c r="D643" s="1036"/>
      <c r="E643" s="1036"/>
      <c r="F643" s="1000"/>
      <c r="G643" s="1037"/>
      <c r="H643" s="936"/>
    </row>
    <row r="644" spans="1:8">
      <c r="A644" s="161">
        <v>14</v>
      </c>
      <c r="B644" s="991" t="s">
        <v>1167</v>
      </c>
      <c r="H644" s="940"/>
    </row>
    <row r="645" spans="1:8">
      <c r="A645" s="161"/>
      <c r="B645" s="991"/>
      <c r="C645" s="910">
        <v>1</v>
      </c>
      <c r="D645" s="910">
        <v>3.76</v>
      </c>
      <c r="E645" s="910">
        <v>4.0599999999999996</v>
      </c>
      <c r="F645" s="910"/>
      <c r="G645" s="925">
        <f>E645*D645*C645</f>
        <v>15.265599999999997</v>
      </c>
      <c r="H645" s="940"/>
    </row>
    <row r="646" spans="1:8">
      <c r="A646" s="161"/>
      <c r="B646" s="991"/>
      <c r="C646" s="910">
        <v>1</v>
      </c>
      <c r="D646" s="910">
        <v>3.2650000000000001</v>
      </c>
      <c r="E646" s="910">
        <v>4.0599999999999996</v>
      </c>
      <c r="F646" s="910"/>
      <c r="G646" s="925">
        <f t="shared" ref="G646:G658" si="33">E646*D646*C646</f>
        <v>13.255899999999999</v>
      </c>
      <c r="H646" s="940"/>
    </row>
    <row r="647" spans="1:8">
      <c r="A647" s="161"/>
      <c r="B647" s="991"/>
      <c r="C647" s="910">
        <v>1</v>
      </c>
      <c r="D647" s="910">
        <v>3.28</v>
      </c>
      <c r="E647" s="910">
        <v>4.0599999999999996</v>
      </c>
      <c r="F647" s="910"/>
      <c r="G647" s="925">
        <f t="shared" si="33"/>
        <v>13.316799999999997</v>
      </c>
      <c r="H647" s="940"/>
    </row>
    <row r="648" spans="1:8">
      <c r="A648" s="161"/>
      <c r="B648" s="991"/>
      <c r="C648" s="910">
        <v>1</v>
      </c>
      <c r="D648" s="910">
        <v>3.5150000000000001</v>
      </c>
      <c r="E648" s="910">
        <v>4.0599999999999996</v>
      </c>
      <c r="F648" s="910"/>
      <c r="G648" s="925">
        <f t="shared" si="33"/>
        <v>14.270899999999999</v>
      </c>
      <c r="H648" s="940"/>
    </row>
    <row r="649" spans="1:8">
      <c r="A649" s="161"/>
      <c r="B649" s="991"/>
      <c r="C649" s="910">
        <v>1</v>
      </c>
      <c r="D649" s="910">
        <v>3.76</v>
      </c>
      <c r="E649" s="910">
        <v>1.4650000000000001</v>
      </c>
      <c r="F649" s="910"/>
      <c r="G649" s="925">
        <f t="shared" si="33"/>
        <v>5.5084</v>
      </c>
      <c r="H649" s="940"/>
    </row>
    <row r="650" spans="1:8">
      <c r="A650" s="161"/>
      <c r="B650" s="991"/>
      <c r="C650" s="910">
        <v>1</v>
      </c>
      <c r="D650" s="910">
        <v>3.2650000000000001</v>
      </c>
      <c r="E650" s="910">
        <v>1.4650000000000001</v>
      </c>
      <c r="F650" s="910"/>
      <c r="G650" s="925">
        <f t="shared" si="33"/>
        <v>4.7832250000000007</v>
      </c>
      <c r="H650" s="940"/>
    </row>
    <row r="651" spans="1:8">
      <c r="A651" s="161"/>
      <c r="B651" s="991"/>
      <c r="C651" s="910">
        <v>1</v>
      </c>
      <c r="D651" s="910">
        <v>3.28</v>
      </c>
      <c r="E651" s="910">
        <v>1.4650000000000001</v>
      </c>
      <c r="F651" s="910"/>
      <c r="G651" s="925">
        <f t="shared" si="33"/>
        <v>4.8052000000000001</v>
      </c>
      <c r="H651" s="940"/>
    </row>
    <row r="652" spans="1:8">
      <c r="A652" s="161"/>
      <c r="B652" s="991"/>
      <c r="C652" s="910">
        <v>1</v>
      </c>
      <c r="D652" s="910">
        <v>3.5150000000000001</v>
      </c>
      <c r="E652" s="910">
        <v>1.4650000000000001</v>
      </c>
      <c r="F652" s="910"/>
      <c r="G652" s="925">
        <f t="shared" si="33"/>
        <v>5.1494750000000007</v>
      </c>
      <c r="H652" s="940"/>
    </row>
    <row r="653" spans="1:8">
      <c r="A653" s="161"/>
      <c r="B653" s="991"/>
      <c r="C653" s="910">
        <v>1</v>
      </c>
      <c r="D653" s="927">
        <v>3.76</v>
      </c>
      <c r="E653" s="927">
        <v>4.13</v>
      </c>
      <c r="F653" s="910"/>
      <c r="G653" s="925">
        <f t="shared" si="33"/>
        <v>15.528799999999999</v>
      </c>
      <c r="H653" s="940"/>
    </row>
    <row r="654" spans="1:8">
      <c r="A654" s="161"/>
      <c r="B654" s="991"/>
      <c r="C654" s="910">
        <v>1</v>
      </c>
      <c r="D654" s="927">
        <v>2.0350000000000001</v>
      </c>
      <c r="E654" s="927">
        <v>4.13</v>
      </c>
      <c r="F654" s="910"/>
      <c r="G654" s="925">
        <f t="shared" si="33"/>
        <v>8.4045500000000004</v>
      </c>
      <c r="H654" s="940"/>
    </row>
    <row r="655" spans="1:8">
      <c r="A655" s="161"/>
      <c r="B655" s="991"/>
      <c r="C655" s="910">
        <v>1</v>
      </c>
      <c r="D655" s="927">
        <v>2.46</v>
      </c>
      <c r="E655" s="927">
        <v>4.13</v>
      </c>
      <c r="F655" s="910"/>
      <c r="G655" s="925">
        <f t="shared" si="33"/>
        <v>10.159799999999999</v>
      </c>
      <c r="H655" s="940"/>
    </row>
    <row r="656" spans="1:8">
      <c r="A656" s="161"/>
      <c r="B656" s="991"/>
      <c r="C656" s="910">
        <v>1</v>
      </c>
      <c r="D656" s="927">
        <v>2.0499999999999998</v>
      </c>
      <c r="E656" s="927">
        <v>4.13</v>
      </c>
      <c r="F656" s="910"/>
      <c r="G656" s="925">
        <f t="shared" si="33"/>
        <v>8.4664999999999999</v>
      </c>
      <c r="H656" s="940"/>
    </row>
    <row r="657" spans="1:8">
      <c r="A657" s="161"/>
      <c r="B657" s="991"/>
      <c r="C657" s="910">
        <v>1</v>
      </c>
      <c r="D657" s="927">
        <v>3.5150000000000001</v>
      </c>
      <c r="E657" s="927">
        <v>4.13</v>
      </c>
      <c r="F657" s="910"/>
      <c r="G657" s="925">
        <f t="shared" si="33"/>
        <v>14.51695</v>
      </c>
      <c r="H657" s="940"/>
    </row>
    <row r="658" spans="1:8">
      <c r="A658" s="161"/>
      <c r="B658" s="991"/>
      <c r="C658" s="910">
        <v>2</v>
      </c>
      <c r="D658" s="927">
        <v>2.61</v>
      </c>
      <c r="E658" s="927">
        <v>1.615</v>
      </c>
      <c r="F658" s="910"/>
      <c r="G658" s="925">
        <f t="shared" si="33"/>
        <v>8.430299999999999</v>
      </c>
      <c r="H658" s="940"/>
    </row>
    <row r="659" spans="1:8">
      <c r="A659" s="161"/>
      <c r="B659" s="991"/>
      <c r="C659" s="849"/>
      <c r="D659" s="890"/>
      <c r="E659" s="890"/>
      <c r="F659" s="890"/>
      <c r="G659" s="863">
        <f>SUM(G645:G658)</f>
        <v>141.86239999999998</v>
      </c>
      <c r="H659" s="940"/>
    </row>
    <row r="660" spans="1:8">
      <c r="A660" s="161"/>
      <c r="B660" s="991"/>
      <c r="C660" s="849"/>
      <c r="D660" s="890"/>
      <c r="E660" s="890"/>
      <c r="F660" s="890"/>
      <c r="G660" s="889">
        <f>G659*10%</f>
        <v>14.186239999999998</v>
      </c>
      <c r="H660" s="940"/>
    </row>
    <row r="661" spans="1:8">
      <c r="A661" s="161"/>
      <c r="B661" s="991"/>
      <c r="C661" s="899"/>
      <c r="D661" s="890"/>
      <c r="E661" s="890"/>
      <c r="F661" s="890"/>
      <c r="G661" s="894">
        <f>G660+G659</f>
        <v>156.04863999999998</v>
      </c>
      <c r="H661" s="926" t="s">
        <v>32</v>
      </c>
    </row>
    <row r="662" spans="1:8">
      <c r="A662" s="161">
        <v>15</v>
      </c>
      <c r="B662" s="991" t="s">
        <v>1168</v>
      </c>
      <c r="C662" s="1038"/>
      <c r="D662" s="1039"/>
      <c r="E662" s="890"/>
      <c r="F662" s="890"/>
      <c r="G662" s="920"/>
      <c r="H662" s="904"/>
    </row>
    <row r="663" spans="1:8">
      <c r="A663" s="161"/>
      <c r="B663" s="877" t="s">
        <v>1051</v>
      </c>
      <c r="C663" s="1038">
        <v>1</v>
      </c>
      <c r="D663" s="1039">
        <v>5</v>
      </c>
      <c r="E663" s="890"/>
      <c r="F663" s="890"/>
      <c r="G663" s="863">
        <f>D663*C663</f>
        <v>5</v>
      </c>
      <c r="H663" s="904"/>
    </row>
    <row r="664" spans="1:8">
      <c r="A664" s="161"/>
      <c r="B664" s="877"/>
      <c r="C664" s="1038"/>
      <c r="D664" s="1039"/>
      <c r="E664" s="890"/>
      <c r="F664" s="890"/>
      <c r="G664" s="863">
        <f>SUM(G663:G663)</f>
        <v>5</v>
      </c>
      <c r="H664" s="904"/>
    </row>
    <row r="665" spans="1:8">
      <c r="A665" s="161"/>
      <c r="B665" s="877"/>
      <c r="C665" s="849"/>
      <c r="D665" s="1039"/>
      <c r="E665" s="890"/>
      <c r="F665" s="890"/>
      <c r="G665" s="889">
        <f>G664*10%</f>
        <v>0.5</v>
      </c>
      <c r="H665" s="904"/>
    </row>
    <row r="666" spans="1:8">
      <c r="A666" s="161"/>
      <c r="B666" s="860"/>
      <c r="C666" s="849"/>
      <c r="D666" s="890"/>
      <c r="E666" s="890"/>
      <c r="F666" s="890"/>
      <c r="G666" s="894">
        <f>G665+G664</f>
        <v>5.5</v>
      </c>
      <c r="H666" s="926" t="s">
        <v>434</v>
      </c>
    </row>
    <row r="667" spans="1:8">
      <c r="A667" s="161"/>
      <c r="B667" s="860"/>
      <c r="C667" s="849"/>
      <c r="D667" s="890"/>
      <c r="E667" s="890"/>
      <c r="F667" s="890"/>
      <c r="G667" s="894"/>
      <c r="H667" s="926"/>
    </row>
    <row r="668" spans="1:8">
      <c r="A668" s="161"/>
      <c r="B668" s="877" t="s">
        <v>1214</v>
      </c>
      <c r="C668" s="849">
        <v>2</v>
      </c>
      <c r="D668" s="890">
        <v>3.37</v>
      </c>
      <c r="E668" s="890"/>
      <c r="F668" s="890"/>
      <c r="G668" s="910">
        <f>D668*C668</f>
        <v>6.74</v>
      </c>
      <c r="H668" s="926"/>
    </row>
    <row r="669" spans="1:8">
      <c r="A669" s="161"/>
      <c r="B669" s="877"/>
      <c r="C669" s="849">
        <v>2</v>
      </c>
      <c r="D669" s="890">
        <v>2.17</v>
      </c>
      <c r="E669" s="890"/>
      <c r="F669" s="890"/>
      <c r="G669" s="910">
        <f>D669*C669</f>
        <v>4.34</v>
      </c>
      <c r="H669" s="926"/>
    </row>
    <row r="670" spans="1:8">
      <c r="A670" s="161"/>
      <c r="B670" s="926"/>
      <c r="C670" s="849">
        <v>1</v>
      </c>
      <c r="D670" s="890">
        <v>5</v>
      </c>
      <c r="E670" s="890"/>
      <c r="F670" s="890"/>
      <c r="G670" s="910">
        <f>D670*C670</f>
        <v>5</v>
      </c>
      <c r="H670" s="926"/>
    </row>
    <row r="671" spans="1:8">
      <c r="A671" s="161"/>
      <c r="B671" s="926"/>
      <c r="C671" s="849"/>
      <c r="D671" s="890"/>
      <c r="E671" s="890"/>
      <c r="F671" s="890"/>
      <c r="G671" s="910">
        <f>SUM(G668:G670)</f>
        <v>16.079999999999998</v>
      </c>
      <c r="H671" s="926"/>
    </row>
    <row r="672" spans="1:8">
      <c r="A672" s="161"/>
      <c r="B672" s="940"/>
      <c r="C672" s="1038"/>
      <c r="D672" s="890"/>
      <c r="E672" s="890"/>
      <c r="F672" s="890"/>
      <c r="G672" s="889">
        <f>G671*10%</f>
        <v>1.6079999999999999</v>
      </c>
      <c r="H672" s="926"/>
    </row>
    <row r="673" spans="1:8">
      <c r="A673" s="161"/>
      <c r="B673" s="926"/>
      <c r="C673" s="1038"/>
      <c r="D673" s="1039"/>
      <c r="E673" s="890"/>
      <c r="F673" s="890"/>
      <c r="G673" s="894">
        <f>SUM(G671:G672)</f>
        <v>17.687999999999999</v>
      </c>
      <c r="H673" s="926" t="s">
        <v>434</v>
      </c>
    </row>
    <row r="674" spans="1:8">
      <c r="A674" s="161"/>
      <c r="B674" s="926"/>
      <c r="C674" s="886"/>
      <c r="D674" s="1039"/>
      <c r="E674" s="890"/>
      <c r="F674" s="890"/>
      <c r="G674" s="863"/>
      <c r="H674" s="904"/>
    </row>
    <row r="675" spans="1:8">
      <c r="A675" s="161">
        <v>16</v>
      </c>
      <c r="B675" s="991" t="s">
        <v>1169</v>
      </c>
      <c r="C675" s="898"/>
      <c r="D675" s="1000"/>
      <c r="E675" s="947"/>
      <c r="F675" s="1000"/>
      <c r="G675" s="898"/>
      <c r="H675" s="900"/>
    </row>
    <row r="676" spans="1:8" ht="15">
      <c r="A676" s="161"/>
      <c r="B676" s="932" t="s">
        <v>1051</v>
      </c>
      <c r="C676" s="860"/>
      <c r="D676" s="946"/>
      <c r="E676" s="946"/>
      <c r="F676" s="1000"/>
      <c r="G676" s="898"/>
      <c r="H676" s="900"/>
    </row>
    <row r="677" spans="1:8">
      <c r="A677" s="161"/>
      <c r="B677" s="865" t="s">
        <v>1458</v>
      </c>
      <c r="C677" s="860">
        <v>2</v>
      </c>
      <c r="D677" s="946">
        <v>1.7849999999999999</v>
      </c>
      <c r="E677" s="946"/>
      <c r="F677" s="1000">
        <v>1.5</v>
      </c>
      <c r="G677" s="898">
        <v>5.3549999999999995</v>
      </c>
      <c r="H677" s="900"/>
    </row>
    <row r="678" spans="1:8" ht="15">
      <c r="A678" s="161"/>
      <c r="B678" s="932" t="s">
        <v>1459</v>
      </c>
      <c r="C678" s="860">
        <v>2</v>
      </c>
      <c r="D678" s="889">
        <v>1.2</v>
      </c>
      <c r="E678" s="946"/>
      <c r="F678" s="1000">
        <v>1.5</v>
      </c>
      <c r="G678" s="898">
        <v>3.5999999999999996</v>
      </c>
      <c r="H678" s="900"/>
    </row>
    <row r="679" spans="1:8">
      <c r="A679" s="161"/>
      <c r="B679" s="1040" t="s">
        <v>1214</v>
      </c>
      <c r="C679" s="860">
        <v>8</v>
      </c>
      <c r="D679" s="1000"/>
      <c r="E679" s="947"/>
      <c r="F679" s="1000"/>
      <c r="G679" s="927"/>
      <c r="H679" s="900"/>
    </row>
    <row r="680" spans="1:8">
      <c r="A680" s="161"/>
      <c r="B680" s="865" t="s">
        <v>1458</v>
      </c>
      <c r="C680" s="860">
        <v>2</v>
      </c>
      <c r="D680" s="946">
        <v>1.7849999999999999</v>
      </c>
      <c r="E680" s="946"/>
      <c r="F680" s="1000">
        <v>1.5</v>
      </c>
      <c r="G680" s="898">
        <v>5.3549999999999995</v>
      </c>
      <c r="H680" s="900"/>
    </row>
    <row r="681" spans="1:8" ht="15">
      <c r="A681" s="161"/>
      <c r="B681" s="932" t="s">
        <v>1459</v>
      </c>
      <c r="C681" s="860">
        <v>2</v>
      </c>
      <c r="D681" s="889">
        <v>1.2</v>
      </c>
      <c r="E681" s="946"/>
      <c r="F681" s="1000">
        <v>1.5</v>
      </c>
      <c r="G681" s="898">
        <v>3.5999999999999996</v>
      </c>
      <c r="H681" s="900"/>
    </row>
    <row r="682" spans="1:8">
      <c r="A682" s="161"/>
      <c r="B682" s="1040"/>
      <c r="C682" s="886"/>
      <c r="D682" s="1000"/>
      <c r="E682" s="947"/>
      <c r="F682" s="1000"/>
      <c r="G682" s="927">
        <f>SUM(G677:G681)</f>
        <v>17.909999999999997</v>
      </c>
      <c r="H682" s="926" t="s">
        <v>32</v>
      </c>
    </row>
    <row r="683" spans="1:8">
      <c r="A683" s="161"/>
      <c r="B683" s="1040"/>
      <c r="C683" s="886"/>
      <c r="D683" s="1000"/>
      <c r="E683" s="947"/>
      <c r="F683" s="1001"/>
      <c r="G683" s="973"/>
      <c r="H683" s="926"/>
    </row>
    <row r="684" spans="1:8">
      <c r="A684" s="161"/>
      <c r="B684" s="991"/>
      <c r="C684" s="886"/>
      <c r="D684" s="999" t="s">
        <v>492</v>
      </c>
      <c r="E684" s="947">
        <v>26.9</v>
      </c>
      <c r="F684" s="890" t="s">
        <v>1366</v>
      </c>
      <c r="G684" s="973">
        <f>E684*G682</f>
        <v>481.77899999999988</v>
      </c>
      <c r="H684" s="926"/>
    </row>
    <row r="685" spans="1:8">
      <c r="A685" s="161"/>
      <c r="B685" s="991"/>
      <c r="C685" s="886"/>
      <c r="D685" s="1000"/>
      <c r="E685" s="947"/>
      <c r="F685" s="1001"/>
      <c r="G685" s="889">
        <f>G684*10%</f>
        <v>48.177899999999994</v>
      </c>
      <c r="H685" s="926"/>
    </row>
    <row r="686" spans="1:8" ht="15">
      <c r="A686" s="161"/>
      <c r="B686" s="991"/>
      <c r="C686" s="886"/>
      <c r="D686" s="999"/>
      <c r="E686" s="947"/>
      <c r="F686" s="890"/>
      <c r="G686" s="894">
        <f>G685+G684</f>
        <v>529.95689999999991</v>
      </c>
      <c r="H686" s="1041" t="s">
        <v>1170</v>
      </c>
    </row>
    <row r="687" spans="1:8">
      <c r="A687" s="161"/>
      <c r="B687" s="991"/>
      <c r="C687" s="849"/>
      <c r="D687" s="1000"/>
      <c r="E687" s="947"/>
      <c r="F687" s="1000"/>
      <c r="G687" s="898"/>
      <c r="H687" s="900"/>
    </row>
    <row r="688" spans="1:8" ht="51">
      <c r="A688" s="161">
        <v>17</v>
      </c>
      <c r="B688" s="992" t="s">
        <v>1171</v>
      </c>
      <c r="C688" s="849"/>
      <c r="D688" s="890"/>
      <c r="E688" s="890"/>
      <c r="F688" s="890"/>
      <c r="G688" s="863"/>
      <c r="H688" s="940"/>
    </row>
    <row r="689" spans="1:8">
      <c r="A689" s="161"/>
      <c r="B689" s="860" t="s">
        <v>1292</v>
      </c>
      <c r="C689" s="849"/>
      <c r="D689" s="890"/>
      <c r="E689" s="890"/>
      <c r="F689" s="890"/>
      <c r="G689" s="894"/>
      <c r="H689" s="926"/>
    </row>
    <row r="690" spans="1:8">
      <c r="A690" s="161"/>
      <c r="B690" s="860" t="s">
        <v>1293</v>
      </c>
      <c r="C690" s="849"/>
      <c r="D690" s="890"/>
      <c r="E690" s="890"/>
      <c r="F690" s="890"/>
      <c r="G690" s="863">
        <f>G462+G494+G517</f>
        <v>576.69315000000006</v>
      </c>
      <c r="H690" s="940"/>
    </row>
    <row r="691" spans="1:8">
      <c r="A691" s="161"/>
      <c r="B691" s="860" t="s">
        <v>1294</v>
      </c>
      <c r="C691" s="849"/>
      <c r="D691" s="890"/>
      <c r="E691" s="890"/>
      <c r="F691" s="890"/>
      <c r="G691" s="863">
        <f>G550+G582+G605</f>
        <v>438.07940000000013</v>
      </c>
      <c r="H691" s="940"/>
    </row>
    <row r="692" spans="1:8">
      <c r="A692" s="161"/>
      <c r="B692" s="860" t="s">
        <v>1295</v>
      </c>
      <c r="C692" s="849"/>
      <c r="D692" s="890"/>
      <c r="E692" s="890"/>
      <c r="F692" s="890"/>
      <c r="G692" s="863">
        <f>G622+G638+G642</f>
        <v>262.129076</v>
      </c>
      <c r="H692" s="940"/>
    </row>
    <row r="693" spans="1:8">
      <c r="A693" s="161"/>
      <c r="B693" s="860"/>
      <c r="C693" s="849"/>
      <c r="D693" s="890"/>
      <c r="E693" s="890"/>
      <c r="F693" s="890"/>
      <c r="G693" s="863">
        <f>SUM(G690:G692)</f>
        <v>1276.9016260000001</v>
      </c>
      <c r="H693" s="940" t="s">
        <v>32</v>
      </c>
    </row>
    <row r="694" spans="1:8">
      <c r="A694" s="161"/>
      <c r="B694" s="860"/>
      <c r="C694" s="849"/>
      <c r="D694" s="890"/>
      <c r="E694" s="890"/>
      <c r="F694" s="890"/>
      <c r="G694" s="894">
        <f>G693</f>
        <v>1276.9016260000001</v>
      </c>
      <c r="H694" s="926" t="s">
        <v>32</v>
      </c>
    </row>
    <row r="695" spans="1:8" ht="15">
      <c r="A695" s="161"/>
      <c r="B695" s="940"/>
      <c r="C695" s="849"/>
      <c r="D695" s="890"/>
      <c r="E695" s="890"/>
      <c r="F695" s="890"/>
      <c r="G695" s="929"/>
      <c r="H695" s="940"/>
    </row>
    <row r="696" spans="1:8">
      <c r="A696" s="161">
        <v>18</v>
      </c>
      <c r="B696" s="991" t="s">
        <v>1172</v>
      </c>
      <c r="C696" s="849"/>
      <c r="D696" s="890"/>
      <c r="E696" s="890"/>
      <c r="F696" s="890"/>
      <c r="G696" s="920"/>
      <c r="H696" s="940"/>
    </row>
    <row r="697" spans="1:8">
      <c r="A697" s="161"/>
      <c r="B697" s="877" t="s">
        <v>1051</v>
      </c>
      <c r="C697" s="1292" t="s">
        <v>1466</v>
      </c>
      <c r="D697" s="1294"/>
      <c r="E697" s="1294"/>
      <c r="F697" s="1294"/>
      <c r="G697" s="863">
        <f>G550</f>
        <v>167.68950000000007</v>
      </c>
      <c r="H697" s="940"/>
    </row>
    <row r="698" spans="1:8" ht="15">
      <c r="A698" s="161"/>
      <c r="B698" s="860"/>
      <c r="C698" s="849"/>
      <c r="D698" s="890"/>
      <c r="E698" s="890"/>
      <c r="F698" s="890"/>
      <c r="G698" s="894">
        <f>G697</f>
        <v>167.68950000000007</v>
      </c>
      <c r="H698" s="934" t="s">
        <v>32</v>
      </c>
    </row>
    <row r="699" spans="1:8" ht="15">
      <c r="A699" s="161"/>
      <c r="B699" s="860"/>
      <c r="C699" s="849"/>
      <c r="D699" s="890"/>
      <c r="E699" s="890"/>
      <c r="F699" s="890"/>
      <c r="G699" s="997"/>
      <c r="H699" s="940"/>
    </row>
    <row r="700" spans="1:8">
      <c r="A700" s="161"/>
      <c r="B700" s="877" t="s">
        <v>1214</v>
      </c>
      <c r="C700" s="1292" t="s">
        <v>1466</v>
      </c>
      <c r="D700" s="1294"/>
      <c r="E700" s="1294"/>
      <c r="F700" s="1294"/>
      <c r="G700" s="863">
        <f>G582</f>
        <v>167.68950000000007</v>
      </c>
      <c r="H700" s="940"/>
    </row>
    <row r="701" spans="1:8" ht="15">
      <c r="A701" s="161"/>
      <c r="B701" s="860"/>
      <c r="C701" s="849"/>
      <c r="D701" s="890"/>
      <c r="E701" s="890"/>
      <c r="F701" s="890"/>
      <c r="G701" s="894">
        <f>G700</f>
        <v>167.68950000000007</v>
      </c>
      <c r="H701" s="934" t="s">
        <v>32</v>
      </c>
    </row>
    <row r="702" spans="1:8" ht="15">
      <c r="A702" s="161"/>
      <c r="B702" s="860"/>
      <c r="C702" s="849"/>
      <c r="D702" s="890"/>
      <c r="E702" s="890"/>
      <c r="F702" s="890"/>
      <c r="G702" s="997"/>
      <c r="H702" s="934"/>
    </row>
    <row r="703" spans="1:8" ht="15">
      <c r="A703" s="161"/>
      <c r="B703" s="860" t="s">
        <v>1467</v>
      </c>
      <c r="C703" s="1292" t="s">
        <v>1466</v>
      </c>
      <c r="D703" s="1294"/>
      <c r="E703" s="1294"/>
      <c r="F703" s="1294"/>
      <c r="G703" s="863">
        <f>G605</f>
        <v>102.7004</v>
      </c>
      <c r="H703" s="934"/>
    </row>
    <row r="704" spans="1:8" ht="15">
      <c r="A704" s="161"/>
      <c r="B704" s="940"/>
      <c r="C704" s="849"/>
      <c r="D704" s="850"/>
      <c r="E704" s="850"/>
      <c r="F704" s="850"/>
      <c r="G704" s="894">
        <f>G703</f>
        <v>102.7004</v>
      </c>
      <c r="H704" s="934" t="s">
        <v>32</v>
      </c>
    </row>
    <row r="705" spans="1:8">
      <c r="A705" s="161"/>
      <c r="B705" s="940"/>
      <c r="C705" s="1002"/>
      <c r="D705" s="850"/>
      <c r="E705" s="850"/>
      <c r="F705" s="850"/>
      <c r="G705" s="850"/>
      <c r="H705" s="940"/>
    </row>
    <row r="706" spans="1:8">
      <c r="A706" s="161">
        <v>19</v>
      </c>
      <c r="B706" s="991" t="s">
        <v>1236</v>
      </c>
      <c r="D706" s="886"/>
      <c r="E706" s="899"/>
      <c r="F706" s="886"/>
      <c r="G706" s="899"/>
      <c r="H706" s="900"/>
    </row>
    <row r="707" spans="1:8" ht="15">
      <c r="A707" s="161"/>
      <c r="B707" s="849" t="s">
        <v>1051</v>
      </c>
      <c r="C707" s="899">
        <v>8</v>
      </c>
      <c r="D707" s="935">
        <v>0.6</v>
      </c>
      <c r="E707" s="899"/>
      <c r="F707" s="935">
        <v>0.6</v>
      </c>
      <c r="G707" s="1017">
        <f>F707*D707*C707</f>
        <v>2.88</v>
      </c>
      <c r="H707" s="926" t="s">
        <v>350</v>
      </c>
    </row>
    <row r="708" spans="1:8" ht="15">
      <c r="A708" s="161"/>
      <c r="B708" s="899"/>
      <c r="C708" s="898"/>
      <c r="D708" s="898"/>
      <c r="E708" s="899"/>
      <c r="F708" s="898"/>
      <c r="G708" s="997"/>
      <c r="H708" s="926"/>
    </row>
    <row r="709" spans="1:8" ht="15">
      <c r="A709" s="161"/>
      <c r="B709" s="899"/>
      <c r="C709" s="898"/>
      <c r="D709" s="860" t="s">
        <v>492</v>
      </c>
      <c r="E709" s="849" t="s">
        <v>1237</v>
      </c>
      <c r="F709" s="898"/>
      <c r="G709" s="1010">
        <f>G707*5.1</f>
        <v>14.687999999999999</v>
      </c>
      <c r="H709" s="926"/>
    </row>
    <row r="710" spans="1:8">
      <c r="A710" s="161"/>
      <c r="B710" s="899"/>
      <c r="C710" s="886"/>
      <c r="D710" s="898"/>
      <c r="E710" s="899"/>
      <c r="F710" s="898"/>
      <c r="G710" s="889">
        <f>G709*10%</f>
        <v>1.4687999999999999</v>
      </c>
      <c r="H710" s="926"/>
    </row>
    <row r="711" spans="1:8">
      <c r="A711" s="161"/>
      <c r="B711" s="899"/>
      <c r="C711" s="886"/>
      <c r="D711" s="860"/>
      <c r="E711" s="849"/>
      <c r="F711" s="898"/>
      <c r="G711" s="944">
        <f>G710+G709</f>
        <v>16.156799999999997</v>
      </c>
      <c r="H711" s="926" t="s">
        <v>447</v>
      </c>
    </row>
    <row r="712" spans="1:8" ht="15">
      <c r="A712" s="161"/>
      <c r="B712" s="849" t="s">
        <v>1214</v>
      </c>
      <c r="C712" s="899">
        <v>8</v>
      </c>
      <c r="D712" s="935">
        <v>0.6</v>
      </c>
      <c r="E712" s="899"/>
      <c r="F712" s="935">
        <v>0.6</v>
      </c>
      <c r="G712" s="1017">
        <f>F712*D712*C712</f>
        <v>2.88</v>
      </c>
      <c r="H712" s="926" t="s">
        <v>350</v>
      </c>
    </row>
    <row r="713" spans="1:8" ht="15">
      <c r="A713" s="161"/>
      <c r="B713" s="899"/>
      <c r="C713" s="898"/>
      <c r="D713" s="898"/>
      <c r="E713" s="899"/>
      <c r="F713" s="898"/>
      <c r="G713" s="997"/>
      <c r="H713" s="926"/>
    </row>
    <row r="714" spans="1:8" ht="15">
      <c r="A714" s="161"/>
      <c r="B714" s="899"/>
      <c r="C714" s="898"/>
      <c r="D714" s="860" t="s">
        <v>492</v>
      </c>
      <c r="E714" s="849" t="s">
        <v>1237</v>
      </c>
      <c r="F714" s="898"/>
      <c r="G714" s="1010">
        <f>G712*5.1</f>
        <v>14.687999999999999</v>
      </c>
      <c r="H714" s="926"/>
    </row>
    <row r="715" spans="1:8">
      <c r="A715" s="161"/>
      <c r="B715" s="899"/>
      <c r="C715" s="886"/>
      <c r="D715" s="898"/>
      <c r="E715" s="899"/>
      <c r="F715" s="898"/>
      <c r="G715" s="889">
        <f>G714*10%</f>
        <v>1.4687999999999999</v>
      </c>
      <c r="H715" s="926"/>
    </row>
    <row r="716" spans="1:8">
      <c r="A716" s="161"/>
      <c r="B716" s="899"/>
      <c r="C716" s="886"/>
      <c r="D716" s="860"/>
      <c r="E716" s="849"/>
      <c r="F716" s="898"/>
      <c r="G716" s="944">
        <f>G715+G714</f>
        <v>16.156799999999997</v>
      </c>
      <c r="H716" s="926" t="s">
        <v>447</v>
      </c>
    </row>
    <row r="717" spans="1:8">
      <c r="A717" s="161"/>
      <c r="B717" s="886"/>
      <c r="C717" s="886"/>
      <c r="D717" s="860"/>
      <c r="E717" s="849"/>
      <c r="F717" s="898"/>
      <c r="G717" s="1042"/>
      <c r="H717" s="926"/>
    </row>
    <row r="718" spans="1:8">
      <c r="A718" s="161">
        <v>20</v>
      </c>
      <c r="B718" s="991" t="s">
        <v>1213</v>
      </c>
      <c r="C718" s="899"/>
      <c r="D718" s="898"/>
      <c r="E718" s="898"/>
      <c r="F718" s="898"/>
      <c r="G718" s="908"/>
      <c r="H718" s="900"/>
    </row>
    <row r="719" spans="1:8">
      <c r="A719" s="161"/>
      <c r="B719" s="877" t="s">
        <v>1051</v>
      </c>
      <c r="D719" s="935"/>
      <c r="E719" s="899"/>
      <c r="F719" s="935"/>
      <c r="G719" s="986"/>
      <c r="H719" s="886"/>
    </row>
    <row r="720" spans="1:8">
      <c r="A720" s="161"/>
      <c r="B720" s="860" t="s">
        <v>213</v>
      </c>
      <c r="C720" s="860">
        <v>4</v>
      </c>
      <c r="D720" s="889">
        <v>0.75</v>
      </c>
      <c r="E720" s="889"/>
      <c r="F720" s="889">
        <v>2.1</v>
      </c>
      <c r="G720" s="927">
        <f>F720*D720*C720</f>
        <v>6.3000000000000007</v>
      </c>
      <c r="H720" s="886"/>
    </row>
    <row r="721" spans="1:8">
      <c r="A721" s="161"/>
      <c r="B721" s="860" t="s">
        <v>1358</v>
      </c>
      <c r="C721" s="860">
        <v>4</v>
      </c>
      <c r="D721" s="889">
        <v>0.95</v>
      </c>
      <c r="E721" s="889"/>
      <c r="F721" s="889">
        <v>2.1</v>
      </c>
      <c r="G721" s="927">
        <f>F721*D721*C721</f>
        <v>7.9799999999999995</v>
      </c>
      <c r="H721" s="886"/>
    </row>
    <row r="722" spans="1:8">
      <c r="A722" s="161"/>
      <c r="B722" s="860" t="s">
        <v>1357</v>
      </c>
      <c r="C722" s="860">
        <v>2</v>
      </c>
      <c r="D722" s="889">
        <v>1</v>
      </c>
      <c r="E722" s="889"/>
      <c r="F722" s="889">
        <v>2.1</v>
      </c>
      <c r="G722" s="927">
        <f>F722*D722*C722</f>
        <v>4.2</v>
      </c>
      <c r="H722" s="886"/>
    </row>
    <row r="723" spans="1:8">
      <c r="A723" s="161"/>
      <c r="B723" s="886"/>
      <c r="C723" s="860"/>
      <c r="D723" s="863"/>
      <c r="E723" s="863"/>
      <c r="F723" s="863"/>
      <c r="G723" s="927">
        <f>SUM(G720:G722)</f>
        <v>18.48</v>
      </c>
      <c r="H723" s="942"/>
    </row>
    <row r="724" spans="1:8">
      <c r="A724" s="161"/>
      <c r="B724" s="886"/>
      <c r="C724" s="860"/>
      <c r="D724" s="863"/>
      <c r="E724" s="863"/>
      <c r="F724" s="863"/>
      <c r="G724" s="927"/>
      <c r="H724" s="942"/>
    </row>
    <row r="725" spans="1:8">
      <c r="A725" s="161"/>
      <c r="B725" s="886"/>
      <c r="C725" s="860"/>
      <c r="D725" s="863"/>
      <c r="E725" s="863"/>
      <c r="F725" s="863"/>
      <c r="G725" s="1043">
        <f>G723</f>
        <v>18.48</v>
      </c>
      <c r="H725" s="926" t="s">
        <v>350</v>
      </c>
    </row>
    <row r="726" spans="1:8">
      <c r="A726" s="161"/>
      <c r="B726" s="886"/>
      <c r="C726" s="1044"/>
      <c r="D726" s="863"/>
      <c r="E726" s="863"/>
      <c r="F726" s="863"/>
      <c r="G726" s="941"/>
      <c r="H726" s="942"/>
    </row>
    <row r="727" spans="1:8">
      <c r="A727" s="161"/>
      <c r="B727" s="161" t="s">
        <v>1214</v>
      </c>
      <c r="D727" s="1045"/>
      <c r="E727" s="863"/>
      <c r="F727" s="863"/>
      <c r="G727" s="1046"/>
      <c r="H727" s="942"/>
    </row>
    <row r="728" spans="1:8">
      <c r="A728" s="161"/>
      <c r="B728" s="860" t="s">
        <v>213</v>
      </c>
      <c r="C728" s="860">
        <v>4</v>
      </c>
      <c r="D728" s="889">
        <v>0.75</v>
      </c>
      <c r="E728" s="889"/>
      <c r="F728" s="889">
        <v>2.1</v>
      </c>
      <c r="G728" s="927">
        <f>F728*D728*C728</f>
        <v>6.3000000000000007</v>
      </c>
      <c r="H728" s="942"/>
    </row>
    <row r="729" spans="1:8">
      <c r="A729" s="161"/>
      <c r="B729" s="860" t="s">
        <v>1358</v>
      </c>
      <c r="C729" s="860">
        <v>4</v>
      </c>
      <c r="D729" s="889">
        <v>0.95</v>
      </c>
      <c r="E729" s="889"/>
      <c r="F729" s="889">
        <v>2.1</v>
      </c>
      <c r="G729" s="927">
        <f>F729*D729*C729</f>
        <v>7.9799999999999995</v>
      </c>
      <c r="H729" s="942"/>
    </row>
    <row r="730" spans="1:8">
      <c r="A730" s="161"/>
      <c r="B730" s="860" t="s">
        <v>1357</v>
      </c>
      <c r="C730" s="860">
        <v>2</v>
      </c>
      <c r="D730" s="889">
        <v>1</v>
      </c>
      <c r="E730" s="889"/>
      <c r="F730" s="889">
        <v>2.1</v>
      </c>
      <c r="G730" s="927">
        <f>F730*D730*C730</f>
        <v>4.2</v>
      </c>
      <c r="H730" s="942"/>
    </row>
    <row r="731" spans="1:8">
      <c r="A731" s="161"/>
      <c r="B731" s="886"/>
      <c r="C731" s="860"/>
      <c r="D731" s="863"/>
      <c r="E731" s="863"/>
      <c r="F731" s="863"/>
      <c r="G731" s="973">
        <f>SUM(G728:G730)</f>
        <v>18.48</v>
      </c>
      <c r="H731" s="926" t="s">
        <v>350</v>
      </c>
    </row>
    <row r="732" spans="1:8">
      <c r="A732" s="161"/>
      <c r="B732" s="855" t="s">
        <v>1468</v>
      </c>
      <c r="C732" s="898">
        <v>1</v>
      </c>
      <c r="D732" s="898">
        <v>1</v>
      </c>
      <c r="E732" s="898"/>
      <c r="F732" s="898">
        <v>2.1</v>
      </c>
      <c r="G732" s="973">
        <f>F732*D732*C732</f>
        <v>2.1</v>
      </c>
      <c r="H732" s="926" t="s">
        <v>350</v>
      </c>
    </row>
    <row r="733" spans="1:8">
      <c r="A733" s="161"/>
      <c r="B733" s="886"/>
      <c r="C733" s="886"/>
      <c r="D733" s="886"/>
      <c r="E733" s="899"/>
      <c r="F733" s="886"/>
      <c r="G733" s="927">
        <f>G732+G731+G725</f>
        <v>39.06</v>
      </c>
      <c r="H733" s="900"/>
    </row>
    <row r="734" spans="1:8">
      <c r="A734" s="161"/>
      <c r="B734" s="886"/>
      <c r="C734" s="886"/>
      <c r="D734" s="886"/>
      <c r="E734" s="899"/>
      <c r="F734" s="886"/>
      <c r="G734" s="889">
        <f>G733*10%</f>
        <v>3.9060000000000006</v>
      </c>
      <c r="H734" s="900"/>
    </row>
    <row r="735" spans="1:8">
      <c r="A735" s="161"/>
      <c r="B735" s="886"/>
      <c r="C735" s="886"/>
      <c r="D735" s="886"/>
      <c r="E735" s="899"/>
      <c r="F735" s="936" t="s">
        <v>426</v>
      </c>
      <c r="G735" s="894">
        <f>G734+G733</f>
        <v>42.966000000000001</v>
      </c>
      <c r="H735" s="926" t="s">
        <v>350</v>
      </c>
    </row>
    <row r="736" spans="1:8">
      <c r="A736" s="161"/>
      <c r="B736" s="886"/>
      <c r="C736" s="899"/>
      <c r="D736" s="886"/>
      <c r="E736" s="899"/>
      <c r="F736" s="886"/>
      <c r="G736" s="908"/>
      <c r="H736" s="900"/>
    </row>
    <row r="737" spans="1:8">
      <c r="A737" s="161">
        <v>21</v>
      </c>
      <c r="B737" s="991" t="s">
        <v>1375</v>
      </c>
      <c r="D737" s="899"/>
      <c r="E737" s="899"/>
      <c r="F737" s="935"/>
      <c r="G737" s="981"/>
      <c r="H737" s="900"/>
    </row>
    <row r="738" spans="1:8">
      <c r="A738" s="161"/>
      <c r="B738" s="860" t="s">
        <v>213</v>
      </c>
      <c r="C738" s="899">
        <f>C728</f>
        <v>4</v>
      </c>
      <c r="D738" s="899">
        <f>D728+(2*2.1)</f>
        <v>4.95</v>
      </c>
      <c r="E738" s="899">
        <v>0.125</v>
      </c>
      <c r="F738" s="935">
        <f>0.2*0.3</f>
        <v>0.06</v>
      </c>
      <c r="G738" s="927">
        <f>F738*E738*D738*C738</f>
        <v>0.14849999999999999</v>
      </c>
      <c r="H738" s="900"/>
    </row>
    <row r="739" spans="1:8">
      <c r="A739" s="161"/>
      <c r="B739" s="860" t="s">
        <v>1358</v>
      </c>
      <c r="C739" s="899">
        <f>C729</f>
        <v>4</v>
      </c>
      <c r="D739" s="899">
        <f>D729+(2*2.1)</f>
        <v>5.15</v>
      </c>
      <c r="E739" s="899">
        <v>0.125</v>
      </c>
      <c r="F739" s="935">
        <f>0.2*0.3</f>
        <v>0.06</v>
      </c>
      <c r="G739" s="927">
        <f>F739*E739*D739*C739</f>
        <v>0.1545</v>
      </c>
      <c r="H739" s="900"/>
    </row>
    <row r="740" spans="1:8">
      <c r="A740" s="161"/>
      <c r="B740" s="860" t="s">
        <v>1357</v>
      </c>
      <c r="C740" s="899">
        <f>C730</f>
        <v>2</v>
      </c>
      <c r="D740" s="899">
        <f>D730+(2*2.1)</f>
        <v>5.2</v>
      </c>
      <c r="E740" s="899">
        <v>0.125</v>
      </c>
      <c r="F740" s="935">
        <f>0.2*0.3</f>
        <v>0.06</v>
      </c>
      <c r="G740" s="927">
        <f>F740*E740*D740*C740</f>
        <v>7.8E-2</v>
      </c>
      <c r="H740" s="900"/>
    </row>
    <row r="741" spans="1:8">
      <c r="A741" s="161"/>
      <c r="B741" s="855" t="s">
        <v>1468</v>
      </c>
      <c r="C741" s="899">
        <v>1</v>
      </c>
      <c r="D741" s="899">
        <f>D732+(2*2.1)</f>
        <v>5.2</v>
      </c>
      <c r="E741" s="899">
        <v>0.125</v>
      </c>
      <c r="F741" s="935">
        <f>0.2*0.3</f>
        <v>0.06</v>
      </c>
      <c r="G741" s="927">
        <f>F741*E741*D741*C741</f>
        <v>3.9E-2</v>
      </c>
      <c r="H741" s="900"/>
    </row>
    <row r="742" spans="1:8">
      <c r="A742" s="161"/>
      <c r="B742" s="886"/>
      <c r="C742" s="899"/>
      <c r="D742" s="899"/>
      <c r="E742" s="899"/>
      <c r="F742" s="935"/>
      <c r="G742" s="927">
        <f>SUM(G738:G740)</f>
        <v>0.38100000000000001</v>
      </c>
      <c r="H742" s="900"/>
    </row>
    <row r="743" spans="1:8">
      <c r="A743" s="161"/>
      <c r="B743" s="886"/>
      <c r="C743" s="899"/>
      <c r="D743" s="899"/>
      <c r="E743" s="899"/>
      <c r="F743" s="935"/>
      <c r="G743" s="889">
        <f>G742*10%</f>
        <v>3.8100000000000002E-2</v>
      </c>
      <c r="H743" s="900"/>
    </row>
    <row r="744" spans="1:8">
      <c r="A744" s="161"/>
      <c r="B744" s="886"/>
      <c r="C744" s="886"/>
      <c r="D744" s="899"/>
      <c r="E744" s="899"/>
      <c r="F744" s="935"/>
      <c r="G744" s="894">
        <f>(G743+G742)*2</f>
        <v>0.83820000000000006</v>
      </c>
      <c r="H744" s="926" t="s">
        <v>25</v>
      </c>
    </row>
    <row r="745" spans="1:8">
      <c r="A745" s="161">
        <v>22</v>
      </c>
      <c r="B745" s="991" t="s">
        <v>1238</v>
      </c>
      <c r="C745" s="899"/>
      <c r="D745" s="886"/>
      <c r="E745" s="899"/>
      <c r="F745" s="886"/>
      <c r="G745" s="898"/>
      <c r="H745" s="900"/>
    </row>
    <row r="746" spans="1:8">
      <c r="A746" s="161"/>
      <c r="B746" s="877" t="s">
        <v>1051</v>
      </c>
      <c r="D746" s="899"/>
      <c r="E746" s="899"/>
      <c r="F746" s="899"/>
      <c r="G746" s="898"/>
      <c r="H746" s="886"/>
    </row>
    <row r="747" spans="1:8" ht="15">
      <c r="A747" s="161"/>
      <c r="B747" s="860" t="s">
        <v>1359</v>
      </c>
      <c r="C747" s="899">
        <v>4</v>
      </c>
      <c r="D747" s="935">
        <v>0.75</v>
      </c>
      <c r="E747" s="899"/>
      <c r="F747" s="935">
        <v>2.1</v>
      </c>
      <c r="G747" s="927">
        <f>F747*D747*C747</f>
        <v>6.3000000000000007</v>
      </c>
      <c r="H747" s="994" t="s">
        <v>32</v>
      </c>
    </row>
    <row r="748" spans="1:8">
      <c r="A748" s="161"/>
      <c r="B748" s="877" t="s">
        <v>1214</v>
      </c>
      <c r="C748" s="899">
        <v>4</v>
      </c>
      <c r="D748" s="935">
        <v>0.75</v>
      </c>
      <c r="E748" s="899"/>
      <c r="F748" s="935">
        <v>2.1</v>
      </c>
      <c r="G748" s="927">
        <f>F748*D748*C748</f>
        <v>6.3000000000000007</v>
      </c>
      <c r="H748" s="886"/>
    </row>
    <row r="749" spans="1:8">
      <c r="A749" s="161"/>
      <c r="B749" s="995"/>
      <c r="C749" s="899"/>
      <c r="D749" s="935"/>
      <c r="E749" s="899"/>
      <c r="F749" s="935"/>
      <c r="G749" s="889">
        <f>SUM(G747:G748)</f>
        <v>12.600000000000001</v>
      </c>
      <c r="H749" s="886"/>
    </row>
    <row r="750" spans="1:8">
      <c r="A750" s="161"/>
      <c r="B750" s="995"/>
      <c r="C750" s="899"/>
      <c r="D750" s="935"/>
      <c r="E750" s="899"/>
      <c r="F750" s="935"/>
      <c r="G750" s="889">
        <f>G749*10%</f>
        <v>1.2600000000000002</v>
      </c>
      <c r="H750" s="886"/>
    </row>
    <row r="751" spans="1:8" ht="15">
      <c r="A751" s="161"/>
      <c r="B751" s="886"/>
      <c r="C751" s="899"/>
      <c r="D751" s="935"/>
      <c r="E751" s="899"/>
      <c r="F751" s="935"/>
      <c r="G751" s="894">
        <f>G749+G750</f>
        <v>13.860000000000001</v>
      </c>
      <c r="H751" s="994" t="s">
        <v>32</v>
      </c>
    </row>
    <row r="752" spans="1:8">
      <c r="A752" s="886"/>
      <c r="B752" s="886"/>
      <c r="D752" s="886"/>
      <c r="E752" s="899"/>
      <c r="F752" s="886"/>
      <c r="G752" s="908"/>
      <c r="H752" s="900"/>
    </row>
    <row r="753" spans="1:8">
      <c r="A753" s="161">
        <v>23</v>
      </c>
      <c r="B753" s="991" t="s">
        <v>1239</v>
      </c>
      <c r="C753" s="899">
        <f>C747</f>
        <v>4</v>
      </c>
      <c r="D753" s="849">
        <f>2*2.1+D747</f>
        <v>4.95</v>
      </c>
      <c r="E753" s="899"/>
      <c r="F753" s="886"/>
      <c r="G753" s="877">
        <f>D753*C753</f>
        <v>19.8</v>
      </c>
      <c r="H753" s="940" t="s">
        <v>434</v>
      </c>
    </row>
    <row r="754" spans="1:8">
      <c r="A754" s="161"/>
      <c r="B754" s="936"/>
      <c r="C754" s="899">
        <f>C748</f>
        <v>4</v>
      </c>
      <c r="D754" s="849">
        <f>2*2.1+D748</f>
        <v>4.95</v>
      </c>
      <c r="E754" s="899"/>
      <c r="F754" s="886"/>
      <c r="G754" s="877">
        <f>D754*C754</f>
        <v>19.8</v>
      </c>
      <c r="H754" s="940"/>
    </row>
    <row r="755" spans="1:8">
      <c r="A755" s="886"/>
      <c r="B755" s="886"/>
      <c r="C755" s="899"/>
      <c r="D755" s="886"/>
      <c r="E755" s="899"/>
      <c r="F755" s="886"/>
      <c r="G755" s="889">
        <f>SUM(G753:G754)</f>
        <v>39.6</v>
      </c>
      <c r="H755" s="900"/>
    </row>
    <row r="756" spans="1:8">
      <c r="A756" s="886"/>
      <c r="B756" s="886"/>
      <c r="C756" s="899"/>
      <c r="D756" s="886"/>
      <c r="E756" s="899"/>
      <c r="F756" s="886"/>
      <c r="G756" s="889">
        <f>G755*10%</f>
        <v>3.9600000000000004</v>
      </c>
      <c r="H756" s="900"/>
    </row>
    <row r="757" spans="1:8">
      <c r="A757" s="161"/>
      <c r="B757" s="936"/>
      <c r="C757" s="886"/>
      <c r="D757" s="849"/>
      <c r="E757" s="899"/>
      <c r="F757" s="886"/>
      <c r="G757" s="894">
        <f>G756+G755</f>
        <v>43.56</v>
      </c>
      <c r="H757" s="940" t="s">
        <v>434</v>
      </c>
    </row>
    <row r="758" spans="1:8">
      <c r="A758" s="161">
        <v>24</v>
      </c>
      <c r="B758" s="991" t="s">
        <v>1335</v>
      </c>
      <c r="C758" s="898"/>
      <c r="D758" s="886"/>
      <c r="E758" s="899"/>
      <c r="F758" s="886"/>
      <c r="G758" s="908"/>
      <c r="H758" s="900"/>
    </row>
    <row r="759" spans="1:8" ht="15">
      <c r="A759" s="161"/>
      <c r="B759" s="932" t="s">
        <v>1458</v>
      </c>
      <c r="C759" s="860">
        <v>2</v>
      </c>
      <c r="D759" s="946">
        <v>1.385</v>
      </c>
      <c r="E759" s="946"/>
      <c r="F759" s="1000">
        <v>1.5</v>
      </c>
      <c r="G759" s="898">
        <f>F759*D759*C759</f>
        <v>4.1550000000000002</v>
      </c>
      <c r="H759" s="900"/>
    </row>
    <row r="760" spans="1:8" ht="15">
      <c r="A760" s="161"/>
      <c r="B760" s="932" t="s">
        <v>1459</v>
      </c>
      <c r="C760" s="860">
        <v>2</v>
      </c>
      <c r="D760" s="889">
        <v>1.2</v>
      </c>
      <c r="E760" s="946"/>
      <c r="F760" s="1000">
        <v>1.5</v>
      </c>
      <c r="G760" s="898">
        <f>F760*D760*C760</f>
        <v>3.5999999999999996</v>
      </c>
      <c r="H760" s="900"/>
    </row>
    <row r="761" spans="1:8">
      <c r="A761" s="161"/>
      <c r="B761" s="898"/>
      <c r="C761" s="860"/>
      <c r="D761" s="863"/>
      <c r="E761" s="863"/>
      <c r="F761" s="863"/>
      <c r="G761" s="927">
        <f>SUM(G759)</f>
        <v>4.1550000000000002</v>
      </c>
      <c r="H761" s="900"/>
    </row>
    <row r="762" spans="1:8">
      <c r="A762" s="161"/>
      <c r="B762" s="886"/>
      <c r="C762" s="886"/>
      <c r="D762" s="863"/>
      <c r="E762" s="863"/>
      <c r="F762" s="863"/>
      <c r="G762" s="889">
        <f>G761*10%</f>
        <v>0.41550000000000004</v>
      </c>
      <c r="H762" s="900"/>
    </row>
    <row r="763" spans="1:8">
      <c r="A763" s="161"/>
      <c r="B763" s="991"/>
      <c r="D763" s="1000"/>
      <c r="E763" s="947"/>
      <c r="F763" s="1000"/>
      <c r="G763" s="894">
        <f>G762+G761</f>
        <v>4.5705</v>
      </c>
      <c r="H763" s="926" t="s">
        <v>32</v>
      </c>
    </row>
    <row r="764" spans="1:8">
      <c r="A764" s="161">
        <v>25</v>
      </c>
      <c r="B764" s="991" t="s">
        <v>1173</v>
      </c>
      <c r="C764" s="1002"/>
      <c r="D764" s="850"/>
      <c r="E764" s="850"/>
      <c r="F764" s="850"/>
      <c r="G764" s="863"/>
      <c r="H764" s="940"/>
    </row>
    <row r="765" spans="1:8" ht="15">
      <c r="B765" s="932" t="s">
        <v>1051</v>
      </c>
      <c r="C765" s="860"/>
      <c r="D765" s="946"/>
      <c r="E765" s="946"/>
      <c r="F765" s="1000"/>
      <c r="G765" s="898"/>
    </row>
    <row r="766" spans="1:8">
      <c r="B766" s="865" t="s">
        <v>1458</v>
      </c>
      <c r="C766" s="860">
        <v>2</v>
      </c>
      <c r="D766" s="946">
        <v>1.7849999999999999</v>
      </c>
      <c r="E766" s="946"/>
      <c r="F766" s="1000">
        <v>1.5</v>
      </c>
      <c r="G766" s="898">
        <v>5.3549999999999995</v>
      </c>
    </row>
    <row r="767" spans="1:8" ht="15">
      <c r="B767" s="932" t="s">
        <v>1459</v>
      </c>
      <c r="C767" s="860">
        <v>2</v>
      </c>
      <c r="D767" s="889">
        <v>1.24</v>
      </c>
      <c r="E767" s="946"/>
      <c r="F767" s="1000">
        <v>1.5</v>
      </c>
      <c r="G767" s="898">
        <v>3.5999999999999996</v>
      </c>
    </row>
    <row r="768" spans="1:8">
      <c r="B768" s="1040" t="s">
        <v>1214</v>
      </c>
      <c r="C768" s="860">
        <v>8</v>
      </c>
      <c r="D768" s="1000"/>
      <c r="E768" s="947"/>
      <c r="F768" s="1000"/>
      <c r="G768" s="927"/>
    </row>
    <row r="769" spans="2:8">
      <c r="B769" s="865" t="s">
        <v>1458</v>
      </c>
      <c r="C769" s="860">
        <v>2</v>
      </c>
      <c r="D769" s="946">
        <v>1.7849999999999999</v>
      </c>
      <c r="E769" s="946"/>
      <c r="F769" s="1000">
        <v>1.5</v>
      </c>
      <c r="G769" s="898">
        <v>5.3549999999999995</v>
      </c>
    </row>
    <row r="770" spans="2:8" ht="15">
      <c r="B770" s="932" t="s">
        <v>1459</v>
      </c>
      <c r="C770" s="860">
        <v>2</v>
      </c>
      <c r="D770" s="889">
        <v>1.24</v>
      </c>
      <c r="E770" s="946"/>
      <c r="F770" s="1000">
        <v>1.5</v>
      </c>
      <c r="G770" s="898">
        <v>3.5999999999999996</v>
      </c>
    </row>
    <row r="771" spans="2:8">
      <c r="G771" s="910">
        <f>SUM(G766:G770)</f>
        <v>17.909999999999997</v>
      </c>
    </row>
    <row r="772" spans="2:8">
      <c r="G772" s="910">
        <f>G771*10%</f>
        <v>1.7909999999999997</v>
      </c>
    </row>
    <row r="773" spans="2:8">
      <c r="G773" s="894">
        <f>SUM(G771:G772)</f>
        <v>19.700999999999997</v>
      </c>
      <c r="H773" s="926" t="s">
        <v>32</v>
      </c>
    </row>
    <row r="774" spans="2:8">
      <c r="G774" s="894">
        <f>SUM(G772:G773)</f>
        <v>21.491999999999997</v>
      </c>
    </row>
  </sheetData>
  <mergeCells count="6">
    <mergeCell ref="C703:F703"/>
    <mergeCell ref="A1:H1"/>
    <mergeCell ref="A2:H2"/>
    <mergeCell ref="D88:E88"/>
    <mergeCell ref="C697:F697"/>
    <mergeCell ref="C700:F700"/>
  </mergeCells>
  <pageMargins left="0.45" right="0.45" top="1" bottom="0.75" header="0.3" footer="0.3"/>
  <pageSetup paperSize="9" orientation="portrait" verticalDpi="0" r:id="rId1"/>
  <headerFooter>
    <oddHeader>&amp;C&amp;"Arial,Bold"&amp;12PROJECT:-&amp;"Arial,Regular"
PROPOSED CONSTRUCTION OF EMRS (Ekalavya Model Residential School)
 AT BIKRAMPUR, DIST:-RAYAGADA, ODISHA.</oddHeader>
    <oddFooter>&amp;L&amp;"Arial,Bold"&amp;11HSCL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view="pageBreakPreview" zoomScale="85" zoomScaleSheetLayoutView="85" workbookViewId="0">
      <selection activeCell="E7" sqref="E7"/>
    </sheetView>
  </sheetViews>
  <sheetFormatPr defaultRowHeight="12.75"/>
  <cols>
    <col min="1" max="1" width="3.7109375" style="9" bestFit="1" customWidth="1"/>
    <col min="2" max="2" width="48.5703125" customWidth="1"/>
    <col min="3" max="3" width="10.7109375" customWidth="1"/>
    <col min="4" max="4" width="5.85546875" customWidth="1"/>
    <col min="5" max="5" width="9.7109375" style="9" bestFit="1" customWidth="1"/>
    <col min="6" max="6" width="14.5703125" style="2" bestFit="1" customWidth="1"/>
    <col min="9" max="9" width="11.85546875" bestFit="1" customWidth="1"/>
    <col min="10" max="10" width="9.5703125" bestFit="1" customWidth="1"/>
  </cols>
  <sheetData>
    <row r="1" spans="1:14" s="20" customFormat="1" ht="54.75" customHeight="1">
      <c r="A1" s="1271" t="s">
        <v>1423</v>
      </c>
      <c r="B1" s="1271"/>
      <c r="C1" s="1271"/>
      <c r="D1" s="1271"/>
      <c r="E1" s="1271"/>
      <c r="F1" s="1271"/>
    </row>
    <row r="2" spans="1:14" s="20" customFormat="1" ht="15.75" customHeight="1">
      <c r="A2" s="453"/>
      <c r="B2" s="453"/>
      <c r="C2" s="453"/>
      <c r="D2" s="453"/>
      <c r="E2" s="453"/>
      <c r="F2" s="453"/>
    </row>
    <row r="3" spans="1:14" s="9" customFormat="1" ht="63.75">
      <c r="A3" s="315" t="s">
        <v>1415</v>
      </c>
      <c r="B3" s="246" t="s">
        <v>427</v>
      </c>
      <c r="C3" s="757" t="e">
        <f>'Abst(Admin)'!C3+'Abs(Hostel)'!C3+'Abs(Hostel)'!C3+#REF!</f>
        <v>#REF!</v>
      </c>
      <c r="D3" s="100" t="s">
        <v>25</v>
      </c>
      <c r="E3" s="102">
        <f>ANALYSIS!F16</f>
        <v>89.2</v>
      </c>
      <c r="F3" s="317" t="e">
        <f>E3*C3</f>
        <v>#REF!</v>
      </c>
      <c r="H3" s="18"/>
    </row>
    <row r="4" spans="1:14" s="9" customFormat="1">
      <c r="A4" s="315"/>
      <c r="B4" s="246"/>
      <c r="C4" s="317"/>
      <c r="D4" s="100"/>
      <c r="E4" s="102"/>
      <c r="F4" s="317"/>
      <c r="H4" s="18"/>
    </row>
    <row r="5" spans="1:14" s="9" customFormat="1" ht="63.75">
      <c r="A5" s="315" t="s">
        <v>476</v>
      </c>
      <c r="B5" s="3" t="s">
        <v>1416</v>
      </c>
      <c r="H5" s="18"/>
      <c r="I5" s="317">
        <f>'[16]Academic-Ext.'!$C$9+'[16]Hostel Block-Ext.'!$C$9+'[16]Hostel Block-Ext.'!$C$9+'[16]CCA-External'!$C$9+'[16]External-Water Supply'!$C$41</f>
        <v>198</v>
      </c>
      <c r="J5" s="100" t="s">
        <v>25</v>
      </c>
      <c r="K5" s="317">
        <v>119.9</v>
      </c>
      <c r="L5" s="317">
        <f>K5*I5</f>
        <v>23740.2</v>
      </c>
    </row>
    <row r="6" spans="1:14" s="9" customFormat="1">
      <c r="A6" s="315"/>
      <c r="B6" s="246"/>
      <c r="C6" s="317"/>
      <c r="D6" s="100"/>
      <c r="E6" s="102"/>
      <c r="F6" s="317"/>
      <c r="H6" s="18"/>
    </row>
    <row r="7" spans="1:14" s="9" customFormat="1" ht="76.5">
      <c r="A7" s="455" t="s">
        <v>477</v>
      </c>
      <c r="B7" s="3" t="s">
        <v>1417</v>
      </c>
      <c r="H7" s="18"/>
      <c r="I7" s="317">
        <f>'[16]Academic-Ext.'!$C$11+'[16]Hostel Block-Ext.'!$C$11+'[16]Hostel Block-Ext.'!$C$11+'[16]CCA-External'!$C$11+'[16]External-Water Supply'!$C$43</f>
        <v>132</v>
      </c>
      <c r="J7" s="100" t="s">
        <v>25</v>
      </c>
      <c r="K7" s="317">
        <v>186.9</v>
      </c>
      <c r="L7" s="317">
        <f>K7*I7</f>
        <v>24670.799999999999</v>
      </c>
    </row>
    <row r="8" spans="1:14" s="9" customFormat="1">
      <c r="A8" s="455"/>
      <c r="B8" s="3"/>
      <c r="C8" s="317"/>
      <c r="D8" s="100"/>
      <c r="E8" s="102"/>
      <c r="F8" s="317"/>
      <c r="H8" s="18"/>
    </row>
    <row r="9" spans="1:14" s="9" customFormat="1" ht="76.5">
      <c r="A9" s="455" t="s">
        <v>478</v>
      </c>
      <c r="B9" s="3" t="s">
        <v>1418</v>
      </c>
      <c r="H9" s="18"/>
      <c r="I9" s="317">
        <f>'[16]Academic-Ext.'!$C$13+'[16]Hostel Block-Ext.'!$C$13+'[16]Hostel Block-Ext.'!$C$13+'[16]CCA-External'!$C$13+'[16]External-Water Supply'!$C$45</f>
        <v>76</v>
      </c>
      <c r="J9" s="100" t="s">
        <v>25</v>
      </c>
      <c r="K9" s="102">
        <f>'[17]CCA-External'!$E$13</f>
        <v>868.8</v>
      </c>
      <c r="L9" s="317">
        <f>K9*I9</f>
        <v>66028.800000000003</v>
      </c>
    </row>
    <row r="10" spans="1:14" s="366" customFormat="1">
      <c r="A10" s="315"/>
      <c r="B10" s="246"/>
      <c r="C10" s="317"/>
      <c r="D10" s="100"/>
      <c r="E10" s="102"/>
      <c r="F10" s="317"/>
    </row>
    <row r="11" spans="1:14" s="9" customFormat="1" ht="114.75">
      <c r="A11" s="101">
        <v>2</v>
      </c>
      <c r="B11" s="316" t="s">
        <v>405</v>
      </c>
      <c r="C11" s="102" t="e">
        <f>'Abst(Admin)'!C5+(2*'Abs(Hostel)'!C5)+#REF!</f>
        <v>#REF!</v>
      </c>
      <c r="D11" s="100" t="s">
        <v>25</v>
      </c>
      <c r="E11" s="102">
        <f>ANALYSIS!F45</f>
        <v>275.60000000000002</v>
      </c>
      <c r="F11" s="317" t="e">
        <f>E11*C11</f>
        <v>#REF!</v>
      </c>
    </row>
    <row r="12" spans="1:14" s="9" customFormat="1">
      <c r="A12" s="101"/>
      <c r="B12" s="316"/>
      <c r="C12" s="102"/>
      <c r="D12" s="100"/>
      <c r="E12" s="102"/>
      <c r="F12" s="317"/>
    </row>
    <row r="13" spans="1:14" s="9" customFormat="1" ht="76.5">
      <c r="A13" s="101">
        <v>4</v>
      </c>
      <c r="B13" s="3" t="s">
        <v>1419</v>
      </c>
    </row>
    <row r="14" spans="1:14" s="9" customFormat="1">
      <c r="A14" s="101" t="s">
        <v>467</v>
      </c>
      <c r="B14" s="3" t="s">
        <v>1420</v>
      </c>
      <c r="C14" s="317" t="e">
        <f>'Abst(Admin)'!C7+'Abs(Hostel)'!C7+'Abs(Hostel)'!C7+#REF!</f>
        <v>#REF!</v>
      </c>
      <c r="D14" s="8" t="s">
        <v>25</v>
      </c>
      <c r="E14" s="317">
        <f>(E3*2)/3</f>
        <v>59.466666666666669</v>
      </c>
      <c r="F14" s="317" t="e">
        <f>E14*C14</f>
        <v>#REF!</v>
      </c>
    </row>
    <row r="15" spans="1:14" s="9" customFormat="1" ht="38.25">
      <c r="I15" s="101" t="s">
        <v>468</v>
      </c>
      <c r="J15" s="3" t="s">
        <v>1421</v>
      </c>
      <c r="K15" s="317">
        <f>'[16]Academic-Ext.'!$C$15+'[16]Hostel Block-Ext.'!$C$15+'[16]Hostel Block-Ext.'!$C$15+'[16]CCA-External'!$C$15+'[16]External-Water Supply'!$C$47</f>
        <v>353</v>
      </c>
      <c r="L15" s="8" t="s">
        <v>25</v>
      </c>
      <c r="M15" s="317">
        <f>((E3+K5+K7)*2)/3</f>
        <v>264</v>
      </c>
      <c r="N15" s="317">
        <f>M15*K15</f>
        <v>93192</v>
      </c>
    </row>
    <row r="16" spans="1:14" s="9" customFormat="1">
      <c r="A16" s="101"/>
      <c r="B16" s="3"/>
      <c r="C16" s="317"/>
      <c r="D16" s="8"/>
      <c r="E16" s="317"/>
      <c r="F16" s="317"/>
    </row>
    <row r="17" spans="1:6" s="9" customFormat="1" ht="63.75">
      <c r="A17" s="101">
        <v>5</v>
      </c>
      <c r="B17" s="316" t="s">
        <v>406</v>
      </c>
      <c r="C17" s="756" t="e">
        <f>'Abst(Admin)'!C9+(2*'Abs(Hostel)'!C9)+#REF!</f>
        <v>#REF!</v>
      </c>
      <c r="D17" s="100" t="s">
        <v>25</v>
      </c>
      <c r="E17" s="102">
        <f>ANALYSIS!F127</f>
        <v>4044.7</v>
      </c>
      <c r="F17" s="317" t="e">
        <f>E17*C17</f>
        <v>#REF!</v>
      </c>
    </row>
    <row r="18" spans="1:6" s="9" customFormat="1">
      <c r="A18" s="17"/>
      <c r="E18" s="20"/>
      <c r="F18" s="317"/>
    </row>
    <row r="19" spans="1:6" s="9" customFormat="1" ht="178.5">
      <c r="A19" s="455">
        <v>6</v>
      </c>
      <c r="B19" s="456" t="s">
        <v>1245</v>
      </c>
      <c r="C19" s="756" t="e">
        <f>'Abst(Admin)'!C11+(2*'Abs(Hostel)'!C11)+#REF!</f>
        <v>#REF!</v>
      </c>
      <c r="D19" s="100" t="s">
        <v>25</v>
      </c>
      <c r="E19" s="102">
        <f>ANALYSIS!F172</f>
        <v>4226.8999999999996</v>
      </c>
      <c r="F19" s="317" t="e">
        <f>E19*C19</f>
        <v>#REF!</v>
      </c>
    </row>
    <row r="20" spans="1:6" s="9" customFormat="1">
      <c r="A20" s="17"/>
      <c r="E20" s="20"/>
      <c r="F20" s="317"/>
    </row>
    <row r="21" spans="1:6" s="20" customFormat="1" ht="51">
      <c r="A21" s="101">
        <v>7</v>
      </c>
      <c r="B21" s="156" t="s">
        <v>485</v>
      </c>
      <c r="C21" s="367"/>
      <c r="D21" s="367"/>
      <c r="E21" s="100"/>
      <c r="F21" s="180"/>
    </row>
    <row r="22" spans="1:6" s="20" customFormat="1">
      <c r="A22" s="101"/>
      <c r="B22" s="156"/>
      <c r="C22" s="367"/>
      <c r="D22" s="367"/>
      <c r="E22" s="100"/>
      <c r="F22" s="180"/>
    </row>
    <row r="23" spans="1:6" s="20" customFormat="1">
      <c r="A23" s="101" t="s">
        <v>424</v>
      </c>
      <c r="B23" s="460" t="s">
        <v>486</v>
      </c>
      <c r="C23" s="102"/>
      <c r="D23" s="100"/>
      <c r="E23" s="100"/>
      <c r="F23" s="180"/>
    </row>
    <row r="24" spans="1:6" s="20" customFormat="1">
      <c r="A24" s="101"/>
      <c r="B24" s="156" t="s">
        <v>1249</v>
      </c>
      <c r="C24" s="756" t="e">
        <f>'Abst(Admin)'!C16+(2*'Abs(Hostel)'!C16)+#REF!</f>
        <v>#REF!</v>
      </c>
      <c r="D24" s="100" t="s">
        <v>25</v>
      </c>
      <c r="E24" s="102">
        <f>ANALYSIS!F412</f>
        <v>5475.0535757248017</v>
      </c>
      <c r="F24" s="180" t="e">
        <f>E24*C24</f>
        <v>#REF!</v>
      </c>
    </row>
    <row r="25" spans="1:6" s="20" customFormat="1">
      <c r="A25" s="101"/>
      <c r="B25" s="617" t="s">
        <v>1246</v>
      </c>
      <c r="C25" s="184" t="e">
        <f>'Abst(Admin)'!C17+(2*'Abs(Hostel)'!C17)+#REF!</f>
        <v>#REF!</v>
      </c>
      <c r="D25" s="55" t="s">
        <v>25</v>
      </c>
      <c r="E25" s="184">
        <f>ANALYSIS!F412</f>
        <v>5475.0535757248017</v>
      </c>
      <c r="F25" s="180" t="e">
        <f>E25*C25</f>
        <v>#REF!</v>
      </c>
    </row>
    <row r="26" spans="1:6" s="20" customFormat="1">
      <c r="A26" s="101"/>
      <c r="B26" s="156" t="s">
        <v>594</v>
      </c>
      <c r="C26" s="102" t="e">
        <f>'Abst(Admin)'!C18+(2*'Abs(Hostel)'!C18)+#REF!</f>
        <v>#REF!</v>
      </c>
      <c r="D26" s="100" t="s">
        <v>25</v>
      </c>
      <c r="E26" s="102">
        <f>ANALYSIS!F429</f>
        <v>5873.1</v>
      </c>
      <c r="F26" s="180" t="e">
        <f>E26*C26</f>
        <v>#REF!</v>
      </c>
    </row>
    <row r="27" spans="1:6" s="20" customFormat="1">
      <c r="A27" s="101"/>
      <c r="B27" s="156"/>
      <c r="C27" s="102"/>
      <c r="D27" s="100"/>
      <c r="E27" s="102"/>
      <c r="F27" s="180"/>
    </row>
    <row r="28" spans="1:6" s="20" customFormat="1">
      <c r="A28" s="101" t="s">
        <v>425</v>
      </c>
      <c r="B28" s="460" t="s">
        <v>489</v>
      </c>
      <c r="C28" s="102"/>
      <c r="D28" s="100"/>
      <c r="E28" s="100"/>
      <c r="F28" s="180"/>
    </row>
    <row r="29" spans="1:6" s="20" customFormat="1">
      <c r="A29" s="101"/>
      <c r="B29" s="460" t="s">
        <v>490</v>
      </c>
      <c r="C29" s="102"/>
      <c r="D29" s="171"/>
      <c r="E29" s="100"/>
      <c r="F29" s="180"/>
    </row>
    <row r="30" spans="1:6" s="20" customFormat="1">
      <c r="A30" s="101"/>
      <c r="B30" s="156" t="s">
        <v>1051</v>
      </c>
      <c r="C30" s="756" t="e">
        <f>'Abst(Admin)'!C22+(2*'Abs(Hostel)'!C22)+#REF!</f>
        <v>#REF!</v>
      </c>
      <c r="D30" s="100" t="s">
        <v>25</v>
      </c>
      <c r="E30" s="102">
        <f>ANALYSIS!F485</f>
        <v>9005.4</v>
      </c>
      <c r="F30" s="180" t="e">
        <f>E30*C30</f>
        <v>#REF!</v>
      </c>
    </row>
    <row r="31" spans="1:6" s="20" customFormat="1">
      <c r="A31" s="101"/>
      <c r="B31" s="156" t="s">
        <v>1214</v>
      </c>
      <c r="C31" s="102" t="e">
        <f>'Abst(Admin)'!C23+(2*'Abs(Hostel)'!C23)+#REF!</f>
        <v>#REF!</v>
      </c>
      <c r="D31" s="100" t="s">
        <v>25</v>
      </c>
      <c r="E31" s="102">
        <f>ANALYSIS!F491</f>
        <v>10473.299999999999</v>
      </c>
      <c r="F31" s="180" t="e">
        <f>E31*C31</f>
        <v>#REF!</v>
      </c>
    </row>
    <row r="32" spans="1:6" s="20" customFormat="1">
      <c r="A32" s="101"/>
      <c r="B32" s="156" t="s">
        <v>1250</v>
      </c>
      <c r="C32" s="102" t="e">
        <f>'Abst(Admin)'!C24+(2*'Abs(Hostel)'!C24)+#REF!</f>
        <v>#REF!</v>
      </c>
      <c r="D32" s="100" t="s">
        <v>25</v>
      </c>
      <c r="E32" s="102">
        <f>ANALYSIS!F497</f>
        <v>11549.5</v>
      </c>
      <c r="F32" s="180" t="e">
        <f>E32*C32</f>
        <v>#REF!</v>
      </c>
    </row>
    <row r="33" spans="1:6" s="20" customFormat="1">
      <c r="A33" s="101"/>
      <c r="B33" s="156"/>
      <c r="C33" s="102"/>
      <c r="D33" s="100"/>
      <c r="E33" s="102"/>
      <c r="F33" s="180"/>
    </row>
    <row r="34" spans="1:6" s="20" customFormat="1">
      <c r="A34" s="101"/>
      <c r="B34" s="460" t="s">
        <v>460</v>
      </c>
      <c r="C34" s="102"/>
      <c r="D34" s="100"/>
      <c r="E34" s="100"/>
      <c r="F34" s="180"/>
    </row>
    <row r="35" spans="1:6" s="20" customFormat="1">
      <c r="A35" s="101"/>
      <c r="B35" s="156" t="s">
        <v>1051</v>
      </c>
      <c r="C35" s="102" t="e">
        <f>'Abst(Admin)'!C27+(2*'Abs(Hostel)'!C27)+#REF!</f>
        <v>#REF!</v>
      </c>
      <c r="D35" s="100" t="s">
        <v>25</v>
      </c>
      <c r="E35" s="102">
        <f>E30</f>
        <v>9005.4</v>
      </c>
      <c r="F35" s="180" t="e">
        <f>E35*C35</f>
        <v>#REF!</v>
      </c>
    </row>
    <row r="36" spans="1:6" s="20" customFormat="1">
      <c r="A36" s="101"/>
      <c r="B36" s="156" t="s">
        <v>1214</v>
      </c>
      <c r="C36" s="102" t="e">
        <f>'Abst(Admin)'!C28+(2*'Abs(Hostel)'!C28)+#REF!</f>
        <v>#REF!</v>
      </c>
      <c r="D36" s="100" t="s">
        <v>25</v>
      </c>
      <c r="E36" s="102">
        <f>E31</f>
        <v>10473.299999999999</v>
      </c>
      <c r="F36" s="180" t="e">
        <f>E36*C36</f>
        <v>#REF!</v>
      </c>
    </row>
    <row r="37" spans="1:6" s="20" customFormat="1">
      <c r="A37" s="101"/>
      <c r="B37" s="156" t="s">
        <v>1250</v>
      </c>
      <c r="C37" s="102" t="e">
        <f>'Abst(Admin)'!C29+(2*'Abs(Hostel)'!C29)+#REF!</f>
        <v>#REF!</v>
      </c>
      <c r="D37" s="100" t="s">
        <v>25</v>
      </c>
      <c r="E37" s="102">
        <f>E32</f>
        <v>11549.5</v>
      </c>
      <c r="F37" s="180" t="e">
        <f>E37*C37</f>
        <v>#REF!</v>
      </c>
    </row>
    <row r="38" spans="1:6" s="20" customFormat="1">
      <c r="A38" s="101"/>
      <c r="B38" s="156"/>
      <c r="C38" s="102"/>
      <c r="D38" s="100"/>
      <c r="E38" s="102"/>
      <c r="F38" s="180"/>
    </row>
    <row r="39" spans="1:6" s="20" customFormat="1">
      <c r="A39" s="101"/>
      <c r="B39" s="460" t="s">
        <v>651</v>
      </c>
      <c r="C39" s="102"/>
      <c r="D39" s="100"/>
      <c r="E39" s="100"/>
      <c r="F39" s="180"/>
    </row>
    <row r="40" spans="1:6" s="20" customFormat="1">
      <c r="A40" s="101"/>
      <c r="B40" s="156" t="s">
        <v>1051</v>
      </c>
      <c r="C40" s="102" t="e">
        <f>'Abst(Admin)'!C32+(2*'Abs(Hostel)'!C32)+#REF!</f>
        <v>#REF!</v>
      </c>
      <c r="D40" s="100" t="s">
        <v>25</v>
      </c>
      <c r="E40" s="102">
        <f>ANALYSIS!F448</f>
        <v>8513.4</v>
      </c>
      <c r="F40" s="180" t="e">
        <f>E40*C40</f>
        <v>#REF!</v>
      </c>
    </row>
    <row r="41" spans="1:6" s="20" customFormat="1">
      <c r="A41" s="101"/>
      <c r="B41" s="156" t="s">
        <v>1214</v>
      </c>
      <c r="C41" s="102" t="e">
        <f>'Abst(Admin)'!C33+(2*'Abs(Hostel)'!C33)+#REF!</f>
        <v>#REF!</v>
      </c>
      <c r="D41" s="100" t="s">
        <v>25</v>
      </c>
      <c r="E41" s="102">
        <f>ANALYSIS!F454</f>
        <v>9199.9</v>
      </c>
      <c r="F41" s="180" t="e">
        <f>E41*C41</f>
        <v>#REF!</v>
      </c>
    </row>
    <row r="42" spans="1:6" s="20" customFormat="1">
      <c r="A42" s="101"/>
      <c r="B42" s="156" t="s">
        <v>1250</v>
      </c>
      <c r="C42" s="102" t="e">
        <f>'Abst(Admin)'!C34+(2*'Abs(Hostel)'!C34)+#REF!</f>
        <v>#REF!</v>
      </c>
      <c r="D42" s="100" t="s">
        <v>25</v>
      </c>
      <c r="E42" s="102">
        <f>ANALYSIS!F460</f>
        <v>10021.700000000001</v>
      </c>
      <c r="F42" s="180" t="e">
        <f>E42*C42</f>
        <v>#REF!</v>
      </c>
    </row>
    <row r="43" spans="1:6" s="20" customFormat="1">
      <c r="A43" s="458"/>
      <c r="B43" s="618"/>
      <c r="C43" s="182"/>
      <c r="D43" s="177"/>
      <c r="E43" s="182"/>
      <c r="F43" s="342"/>
    </row>
    <row r="44" spans="1:6" s="20" customFormat="1">
      <c r="A44" s="101"/>
      <c r="B44" s="460" t="s">
        <v>974</v>
      </c>
      <c r="C44" s="102"/>
      <c r="D44" s="100"/>
      <c r="E44" s="100"/>
      <c r="F44" s="180"/>
    </row>
    <row r="45" spans="1:6" s="20" customFormat="1">
      <c r="A45" s="101"/>
      <c r="B45" s="156" t="s">
        <v>1051</v>
      </c>
      <c r="C45" s="102" t="e">
        <f>'Abst(Admin)'!C37+'Abs(Hostel)'!C37+#REF!+'Abs(Hostel)'!C37</f>
        <v>#REF!</v>
      </c>
      <c r="D45" s="100" t="s">
        <v>25</v>
      </c>
      <c r="E45" s="102">
        <f>ANALYSIS!F372</f>
        <v>8872</v>
      </c>
      <c r="F45" s="180" t="e">
        <f>E45*C45</f>
        <v>#REF!</v>
      </c>
    </row>
    <row r="46" spans="1:6" s="20" customFormat="1">
      <c r="A46" s="101"/>
      <c r="B46" s="156" t="s">
        <v>1214</v>
      </c>
      <c r="C46" s="102" t="e">
        <f>'Abst(Admin)'!C38+'Abs(Hostel)'!C38+#REF!+'Abs(Hostel)'!C38</f>
        <v>#REF!</v>
      </c>
      <c r="D46" s="100" t="s">
        <v>25</v>
      </c>
      <c r="E46" s="102">
        <f>ANALYSIS!F378</f>
        <v>9630.2999999999993</v>
      </c>
      <c r="F46" s="180" t="e">
        <f>E46*C46</f>
        <v>#REF!</v>
      </c>
    </row>
    <row r="47" spans="1:6" s="20" customFormat="1">
      <c r="A47" s="101"/>
      <c r="B47" s="156" t="s">
        <v>1250</v>
      </c>
      <c r="C47" s="102" t="e">
        <f>'Abst(Admin)'!C39+'Abs(Hostel)'!C39+#REF!+'Abs(Hostel)'!C39</f>
        <v>#REF!</v>
      </c>
      <c r="D47" s="100" t="s">
        <v>25</v>
      </c>
      <c r="E47" s="102">
        <f>ANALYSIS!F384</f>
        <v>10538.5</v>
      </c>
      <c r="F47" s="180" t="e">
        <f>E47*C47</f>
        <v>#REF!</v>
      </c>
    </row>
    <row r="48" spans="1:6" s="20" customFormat="1">
      <c r="A48" s="101"/>
      <c r="B48" s="156"/>
      <c r="C48" s="102"/>
      <c r="D48" s="100"/>
      <c r="E48" s="102"/>
      <c r="F48" s="180"/>
    </row>
    <row r="49" spans="1:10" s="20" customFormat="1">
      <c r="A49" s="101"/>
      <c r="B49" s="460" t="s">
        <v>975</v>
      </c>
      <c r="C49" s="102"/>
      <c r="D49" s="100"/>
      <c r="E49" s="100"/>
      <c r="F49" s="180"/>
    </row>
    <row r="50" spans="1:10" s="20" customFormat="1">
      <c r="A50" s="101"/>
      <c r="B50" s="156" t="s">
        <v>1051</v>
      </c>
      <c r="C50" s="102" t="e">
        <f>'Abst(Admin)'!C43+'Abs(Hostel)'!C43+#REF!+'Abs(Hostel)'!C43</f>
        <v>#REF!</v>
      </c>
      <c r="D50" s="100" t="s">
        <v>32</v>
      </c>
      <c r="E50" s="102">
        <f>ANALYSIS!F524</f>
        <v>700.3</v>
      </c>
      <c r="F50" s="180" t="e">
        <f>E50*C50</f>
        <v>#REF!</v>
      </c>
    </row>
    <row r="51" spans="1:10" s="20" customFormat="1">
      <c r="A51" s="101"/>
      <c r="B51" s="156" t="s">
        <v>1214</v>
      </c>
      <c r="C51" s="102" t="e">
        <f>'Abst(Admin)'!C44+'Abs(Hostel)'!C44+#REF!+'Abs(Hostel)'!C44</f>
        <v>#REF!</v>
      </c>
      <c r="D51" s="100" t="s">
        <v>32</v>
      </c>
      <c r="E51" s="102">
        <f>ANALYSIS!F529</f>
        <v>774.26552700000002</v>
      </c>
      <c r="F51" s="180" t="e">
        <f>E51*C51</f>
        <v>#REF!</v>
      </c>
    </row>
    <row r="52" spans="1:10" s="20" customFormat="1">
      <c r="A52" s="101"/>
      <c r="B52" s="156"/>
      <c r="C52" s="102"/>
      <c r="D52" s="100"/>
      <c r="E52" s="102"/>
      <c r="F52" s="180"/>
    </row>
    <row r="53" spans="1:10" s="20" customFormat="1">
      <c r="A53" s="101"/>
      <c r="B53" s="460" t="s">
        <v>561</v>
      </c>
      <c r="C53" s="102"/>
      <c r="D53" s="100"/>
      <c r="E53" s="102"/>
      <c r="F53" s="180"/>
      <c r="J53" s="102"/>
    </row>
    <row r="54" spans="1:10" s="20" customFormat="1">
      <c r="A54" s="101"/>
      <c r="B54" s="156" t="s">
        <v>1051</v>
      </c>
      <c r="C54" s="102" t="e">
        <f>'Abst(Admin)'!C47+'Abs(Hostel)'!C47+#REF!+'Abs(Hostel)'!C47</f>
        <v>#REF!</v>
      </c>
      <c r="D54" s="100" t="s">
        <v>25</v>
      </c>
      <c r="E54" s="102">
        <f>ANALYSIS!F393</f>
        <v>8544.1</v>
      </c>
      <c r="F54" s="180" t="e">
        <f>E54*C54</f>
        <v>#REF!</v>
      </c>
    </row>
    <row r="55" spans="1:10" s="20" customFormat="1">
      <c r="A55" s="101"/>
      <c r="B55" s="156" t="s">
        <v>1214</v>
      </c>
      <c r="C55" s="102" t="e">
        <f>'Abst(Admin)'!C48+'Abs(Hostel)'!C48+#REF!+'Abs(Hostel)'!C48</f>
        <v>#REF!</v>
      </c>
      <c r="D55" s="100" t="s">
        <v>25</v>
      </c>
      <c r="E55" s="102">
        <f>ANALYSIS!F399</f>
        <v>9236.2999999999993</v>
      </c>
      <c r="F55" s="180" t="e">
        <f>E55*C55</f>
        <v>#REF!</v>
      </c>
    </row>
    <row r="56" spans="1:10" s="20" customFormat="1">
      <c r="A56" s="101"/>
      <c r="B56" s="156"/>
      <c r="D56" s="100"/>
      <c r="E56" s="100"/>
      <c r="F56" s="180"/>
    </row>
    <row r="57" spans="1:10" s="9" customFormat="1" ht="51">
      <c r="A57" s="101">
        <v>8</v>
      </c>
      <c r="B57" s="156" t="s">
        <v>976</v>
      </c>
      <c r="J57" s="18"/>
    </row>
    <row r="58" spans="1:10" s="9" customFormat="1">
      <c r="A58" s="101"/>
      <c r="B58" s="156" t="s">
        <v>1051</v>
      </c>
      <c r="C58" s="756" t="e">
        <f>'Abst(Admin)'!C51+'Abs(Hostel)'!C51+#REF!+'Abs(Hostel)'!C51</f>
        <v>#REF!</v>
      </c>
      <c r="D58" s="100" t="s">
        <v>127</v>
      </c>
      <c r="E58" s="756">
        <f>ANALYSIS!F585</f>
        <v>5484.2</v>
      </c>
      <c r="F58" s="180" t="e">
        <f>E58*C58</f>
        <v>#REF!</v>
      </c>
    </row>
    <row r="59" spans="1:10" s="9" customFormat="1">
      <c r="A59" s="101"/>
      <c r="B59" s="156" t="s">
        <v>1214</v>
      </c>
      <c r="C59" s="102" t="e">
        <f>'Abst(Admin)'!C52+'Abs(Hostel)'!C52+#REF!+'Abs(Hostel)'!C52</f>
        <v>#REF!</v>
      </c>
      <c r="D59" s="100" t="s">
        <v>127</v>
      </c>
      <c r="E59" s="756">
        <f>ANALYSIS!F590</f>
        <v>5498.4</v>
      </c>
      <c r="F59" s="180" t="e">
        <f>E59*C59</f>
        <v>#REF!</v>
      </c>
    </row>
    <row r="60" spans="1:10" s="9" customFormat="1">
      <c r="A60" s="101"/>
      <c r="B60" s="156" t="s">
        <v>1250</v>
      </c>
      <c r="C60" s="102" t="e">
        <f>'Abst(Admin)'!C53+'Abs(Hostel)'!C53+#REF!+'Abs(Hostel)'!C53</f>
        <v>#REF!</v>
      </c>
      <c r="D60" s="100" t="s">
        <v>127</v>
      </c>
      <c r="E60" s="756">
        <f>ANALYSIS!F595</f>
        <v>5507.4</v>
      </c>
      <c r="F60" s="180" t="e">
        <f>E60*C60</f>
        <v>#REF!</v>
      </c>
    </row>
    <row r="61" spans="1:10" s="9" customFormat="1">
      <c r="A61" s="101"/>
      <c r="B61" s="156"/>
      <c r="E61" s="20"/>
      <c r="F61" s="18"/>
    </row>
    <row r="62" spans="1:10" s="9" customFormat="1" ht="153">
      <c r="A62" s="101">
        <v>9</v>
      </c>
      <c r="B62" s="440" t="s">
        <v>1247</v>
      </c>
      <c r="C62" s="171"/>
      <c r="D62" s="100"/>
      <c r="E62" s="100"/>
      <c r="F62" s="180"/>
    </row>
    <row r="63" spans="1:10" s="9" customFormat="1">
      <c r="A63" s="101"/>
      <c r="B63" s="156" t="s">
        <v>1051</v>
      </c>
      <c r="C63" s="756" t="e">
        <f>'Abst(Admin)'!C56+'Abs(Hostel)'!C56+#REF!+'Abs(Hostel)'!C56</f>
        <v>#REF!</v>
      </c>
      <c r="D63" s="100" t="s">
        <v>25</v>
      </c>
      <c r="E63" s="102">
        <f>ANALYSIS!F175</f>
        <v>4260.3</v>
      </c>
      <c r="F63" s="180" t="e">
        <f>E63*C63</f>
        <v>#REF!</v>
      </c>
    </row>
    <row r="64" spans="1:10" s="9" customFormat="1">
      <c r="A64" s="101"/>
      <c r="B64" s="316" t="s">
        <v>1214</v>
      </c>
      <c r="C64" s="102" t="e">
        <f>'Abst(Admin)'!C57+'Abs(Hostel)'!C57+#REF!+'Abs(Hostel)'!C57</f>
        <v>#REF!</v>
      </c>
      <c r="D64" s="100" t="s">
        <v>25</v>
      </c>
      <c r="E64" s="102">
        <f>ANALYSIS!F182</f>
        <v>4423.2</v>
      </c>
      <c r="F64" s="180" t="e">
        <f>E64*C64</f>
        <v>#REF!</v>
      </c>
    </row>
    <row r="65" spans="1:13" s="9" customFormat="1">
      <c r="A65" s="101"/>
      <c r="B65" s="316" t="s">
        <v>1205</v>
      </c>
      <c r="C65" s="102" t="e">
        <f>'Abst(Admin)'!C58+'Abs(Hostel)'!C58+#REF!+'Abs(Hostel)'!C58</f>
        <v>#REF!</v>
      </c>
      <c r="D65" s="100" t="s">
        <v>25</v>
      </c>
      <c r="E65" s="102">
        <f>ANALYSIS!F190</f>
        <v>4610.5</v>
      </c>
      <c r="F65" s="180" t="e">
        <f>E65*C65</f>
        <v>#REF!</v>
      </c>
    </row>
    <row r="66" spans="1:13" s="9" customFormat="1">
      <c r="A66" s="101"/>
      <c r="B66" s="316"/>
      <c r="C66" s="102"/>
      <c r="D66" s="100"/>
      <c r="E66" s="102"/>
      <c r="F66" s="180"/>
    </row>
    <row r="67" spans="1:13" s="9" customFormat="1" ht="140.25">
      <c r="A67" s="101">
        <v>10</v>
      </c>
      <c r="B67" s="181" t="s">
        <v>983</v>
      </c>
      <c r="C67" s="102"/>
      <c r="D67" s="100"/>
      <c r="E67" s="102"/>
      <c r="F67" s="317"/>
    </row>
    <row r="68" spans="1:13" s="9" customFormat="1">
      <c r="A68" s="101"/>
      <c r="B68" s="156" t="s">
        <v>1051</v>
      </c>
      <c r="C68" s="756" t="e">
        <f>'Abst(Admin)'!C61+'Abs(Hostel)'!C61+#REF!+'Abs(Hostel)'!C61</f>
        <v>#REF!</v>
      </c>
      <c r="D68" s="100" t="s">
        <v>32</v>
      </c>
      <c r="E68" s="102">
        <f>ANALYSIS!F648</f>
        <v>131.9</v>
      </c>
      <c r="F68" s="317" t="e">
        <f>E68*C68</f>
        <v>#REF!</v>
      </c>
    </row>
    <row r="69" spans="1:13" s="9" customFormat="1">
      <c r="A69" s="101"/>
      <c r="B69" s="156" t="s">
        <v>1214</v>
      </c>
      <c r="C69" s="102" t="e">
        <f>'Abst(Admin)'!C62+'Abs(Hostel)'!C62+#REF!+'Abs(Hostel)'!C62</f>
        <v>#REF!</v>
      </c>
      <c r="D69" s="100" t="s">
        <v>32</v>
      </c>
      <c r="E69" s="102">
        <f>ANALYSIS!F654</f>
        <v>134.9</v>
      </c>
      <c r="F69" s="317" t="e">
        <f>E69*C69</f>
        <v>#REF!</v>
      </c>
    </row>
    <row r="70" spans="1:13" s="9" customFormat="1">
      <c r="A70" s="101"/>
      <c r="B70" s="156" t="s">
        <v>1250</v>
      </c>
      <c r="C70" s="102" t="e">
        <f>'Abst(Admin)'!C63+'Abs(Hostel)'!C63+#REF!+'Abs(Hostel)'!C63</f>
        <v>#REF!</v>
      </c>
      <c r="D70" s="100" t="s">
        <v>32</v>
      </c>
      <c r="E70" s="102">
        <f>ANALYSIS!F659</f>
        <v>138</v>
      </c>
      <c r="F70" s="317" t="e">
        <f>E70*C70</f>
        <v>#REF!</v>
      </c>
    </row>
    <row r="71" spans="1:13" s="9" customFormat="1">
      <c r="A71" s="101"/>
      <c r="B71" s="156"/>
      <c r="C71" s="102"/>
      <c r="D71" s="100"/>
      <c r="E71" s="102"/>
      <c r="F71" s="317"/>
      <c r="I71" s="18"/>
    </row>
    <row r="72" spans="1:13" s="9" customFormat="1" ht="140.25">
      <c r="A72" s="101">
        <v>11</v>
      </c>
      <c r="B72" s="156" t="s">
        <v>984</v>
      </c>
      <c r="C72" s="369"/>
      <c r="D72" s="244"/>
      <c r="E72" s="100"/>
      <c r="F72" s="317"/>
    </row>
    <row r="73" spans="1:13" s="9" customFormat="1">
      <c r="A73" s="101"/>
      <c r="B73" s="316" t="s">
        <v>1051</v>
      </c>
      <c r="C73" s="756" t="e">
        <f>'Abst(Admin)'!C66+'Abs(Hostel)'!C66+#REF!+'Abs(Hostel)'!C66</f>
        <v>#REF!</v>
      </c>
      <c r="D73" s="100" t="s">
        <v>32</v>
      </c>
      <c r="E73" s="102">
        <f>ANALYSIS!F679</f>
        <v>138.30000000000001</v>
      </c>
      <c r="F73" s="317" t="e">
        <f>E73*C73</f>
        <v>#REF!</v>
      </c>
    </row>
    <row r="74" spans="1:13" s="9" customFormat="1">
      <c r="A74" s="101"/>
      <c r="B74" s="316" t="s">
        <v>1214</v>
      </c>
      <c r="C74" s="102" t="e">
        <f>'Abst(Admin)'!C67+'Abs(Hostel)'!C67+#REF!+'Abs(Hostel)'!C67</f>
        <v>#REF!</v>
      </c>
      <c r="D74" s="100" t="s">
        <v>32</v>
      </c>
      <c r="E74" s="102">
        <f>ANALYSIS!F684</f>
        <v>141.30000000000001</v>
      </c>
      <c r="F74" s="317" t="e">
        <f>E74*C74</f>
        <v>#REF!</v>
      </c>
      <c r="J74" s="18"/>
      <c r="M74" s="18"/>
    </row>
    <row r="75" spans="1:13" s="9" customFormat="1">
      <c r="A75" s="101"/>
      <c r="B75" s="316" t="s">
        <v>1205</v>
      </c>
      <c r="C75" s="102" t="e">
        <f>'Abst(Admin)'!C68+'Abs(Hostel)'!C68+#REF!+'Abs(Hostel)'!C68</f>
        <v>#REF!</v>
      </c>
      <c r="D75" s="100" t="s">
        <v>32</v>
      </c>
      <c r="E75" s="102">
        <f>ANALYSIS!F689</f>
        <v>144.30000000000001</v>
      </c>
      <c r="F75" s="317" t="e">
        <f>E75*C75</f>
        <v>#REF!</v>
      </c>
    </row>
    <row r="76" spans="1:13" s="9" customFormat="1">
      <c r="A76" s="101"/>
      <c r="B76" s="316"/>
      <c r="C76" s="102"/>
      <c r="D76" s="100"/>
      <c r="E76" s="100"/>
      <c r="F76" s="317"/>
    </row>
    <row r="77" spans="1:13" s="9" customFormat="1" ht="165.75">
      <c r="A77" s="101">
        <v>12</v>
      </c>
      <c r="B77" s="156" t="s">
        <v>985</v>
      </c>
      <c r="C77" s="102"/>
      <c r="D77" s="100"/>
      <c r="E77" s="100"/>
      <c r="F77" s="317"/>
    </row>
    <row r="78" spans="1:13" s="9" customFormat="1">
      <c r="A78" s="101"/>
      <c r="B78" s="316" t="s">
        <v>1051</v>
      </c>
      <c r="C78" s="102" t="e">
        <f>'Abst(Admin)'!C71+'Abs(Hostel)'!C71+#REF!+'Abs(Hostel)'!C71</f>
        <v>#REF!</v>
      </c>
      <c r="D78" s="100" t="s">
        <v>32</v>
      </c>
      <c r="E78" s="102">
        <f>ANALYSIS!F618</f>
        <v>109.2</v>
      </c>
      <c r="F78" s="317" t="e">
        <f>E78*C78</f>
        <v>#REF!</v>
      </c>
    </row>
    <row r="79" spans="1:13" s="9" customFormat="1">
      <c r="A79" s="101"/>
      <c r="B79" s="316" t="s">
        <v>1214</v>
      </c>
      <c r="C79" s="102" t="e">
        <f>'Abst(Admin)'!C72+'Abs(Hostel)'!C72+#REF!+'Abs(Hostel)'!C72</f>
        <v>#REF!</v>
      </c>
      <c r="D79" s="100" t="s">
        <v>32</v>
      </c>
      <c r="E79" s="102">
        <f>ANALYSIS!F623</f>
        <v>111.5</v>
      </c>
      <c r="F79" s="317" t="e">
        <f>E79*C79</f>
        <v>#REF!</v>
      </c>
    </row>
    <row r="80" spans="1:13" s="9" customFormat="1">
      <c r="A80" s="101"/>
      <c r="B80" s="316" t="s">
        <v>1250</v>
      </c>
      <c r="C80" s="102" t="e">
        <f>'Abst(Admin)'!C73+'Abs(Hostel)'!C73+#REF!+'Abs(Hostel)'!C73</f>
        <v>#REF!</v>
      </c>
      <c r="D80" s="100" t="s">
        <v>32</v>
      </c>
      <c r="E80" s="102">
        <f>ANALYSIS!F628</f>
        <v>113.9</v>
      </c>
      <c r="F80" s="317" t="e">
        <f>E80*C80</f>
        <v>#REF!</v>
      </c>
    </row>
    <row r="81" spans="1:6" s="9" customFormat="1">
      <c r="A81" s="101"/>
      <c r="B81" s="316"/>
      <c r="C81" s="102"/>
      <c r="D81" s="100"/>
      <c r="E81" s="102"/>
      <c r="F81" s="317"/>
    </row>
    <row r="82" spans="1:6" s="9" customFormat="1" ht="51">
      <c r="A82" s="101">
        <v>13</v>
      </c>
      <c r="B82" s="156" t="s">
        <v>1045</v>
      </c>
      <c r="C82" s="102" t="e">
        <f>'Abst(Admin)'!C75+'Abs(Hostel)'!C75+#REF!+'Abs(Hostel)'!C75</f>
        <v>#REF!</v>
      </c>
      <c r="D82" s="100" t="s">
        <v>32</v>
      </c>
      <c r="E82" s="102">
        <f>ANALYSIS!F854</f>
        <v>240.83788854999997</v>
      </c>
      <c r="F82" s="317" t="e">
        <f>E82*C82</f>
        <v>#REF!</v>
      </c>
    </row>
    <row r="83" spans="1:6" s="9" customFormat="1">
      <c r="A83" s="101"/>
      <c r="B83" s="431"/>
      <c r="C83" s="102"/>
      <c r="D83" s="100"/>
      <c r="E83" s="102"/>
      <c r="F83" s="317"/>
    </row>
    <row r="84" spans="1:6" s="9" customFormat="1" ht="63.75">
      <c r="A84" s="101">
        <v>14</v>
      </c>
      <c r="B84" s="156" t="s">
        <v>1054</v>
      </c>
      <c r="C84" s="102" t="e">
        <f>'Abst(Admin)'!C77+'Abs(Hostel)'!C77+#REF!+'Abs(Hostel)'!C77</f>
        <v>#REF!</v>
      </c>
      <c r="D84" s="100" t="s">
        <v>32</v>
      </c>
      <c r="E84" s="102">
        <f>(ANALYSIS!F753+ANALYSIS!F758)/2</f>
        <v>154.9</v>
      </c>
      <c r="F84" s="317" t="e">
        <f>E84*C84</f>
        <v>#REF!</v>
      </c>
    </row>
    <row r="85" spans="1:6" s="9" customFormat="1" hidden="1">
      <c r="A85" s="101"/>
      <c r="B85" s="316"/>
      <c r="E85" s="20"/>
    </row>
    <row r="86" spans="1:6" s="9" customFormat="1">
      <c r="A86" s="101"/>
      <c r="B86" s="316"/>
      <c r="E86" s="20"/>
    </row>
    <row r="87" spans="1:6" s="9" customFormat="1" ht="123.75">
      <c r="A87" s="101">
        <v>16</v>
      </c>
      <c r="B87" s="316" t="s">
        <v>1248</v>
      </c>
      <c r="C87" s="102"/>
      <c r="D87" s="100"/>
      <c r="E87" s="100"/>
      <c r="F87" s="317"/>
    </row>
    <row r="88" spans="1:6" s="9" customFormat="1">
      <c r="A88" s="101"/>
      <c r="B88" s="316" t="s">
        <v>1051</v>
      </c>
      <c r="C88" s="102" t="e">
        <f>'Abst(Admin)'!C80+'Abs(Hostel)'!C80+#REF!+'Abs(Hostel)'!C80</f>
        <v>#REF!</v>
      </c>
      <c r="D88" s="100" t="s">
        <v>32</v>
      </c>
      <c r="E88" s="102">
        <f>ANALYSIS!F909</f>
        <v>680.3</v>
      </c>
      <c r="F88" s="317" t="e">
        <f>E88*C88</f>
        <v>#REF!</v>
      </c>
    </row>
    <row r="89" spans="1:6" s="9" customFormat="1">
      <c r="A89" s="101"/>
      <c r="B89" s="316" t="s">
        <v>1214</v>
      </c>
      <c r="C89" s="102" t="e">
        <f>'Abst(Admin)'!C81+'Abs(Hostel)'!C81+'Abs(Hostel)'!C81</f>
        <v>#REF!</v>
      </c>
      <c r="D89" s="100" t="s">
        <v>32</v>
      </c>
      <c r="E89" s="102">
        <f>ANALYSIS!F915</f>
        <v>688.9</v>
      </c>
      <c r="F89" s="317" t="e">
        <f>E89*C89</f>
        <v>#REF!</v>
      </c>
    </row>
    <row r="90" spans="1:6" s="9" customFormat="1">
      <c r="A90" s="101"/>
      <c r="B90" s="316"/>
      <c r="C90" s="102"/>
      <c r="D90" s="100"/>
      <c r="E90" s="102"/>
      <c r="F90" s="317"/>
    </row>
    <row r="91" spans="1:6" s="9" customFormat="1" ht="63.75">
      <c r="A91" s="101">
        <v>17</v>
      </c>
      <c r="B91" s="316" t="s">
        <v>160</v>
      </c>
      <c r="C91" s="102"/>
      <c r="D91" s="100"/>
      <c r="E91" s="102"/>
      <c r="F91" s="317"/>
    </row>
    <row r="92" spans="1:6" s="9" customFormat="1">
      <c r="A92" s="101"/>
      <c r="B92" s="316" t="s">
        <v>1051</v>
      </c>
      <c r="C92" s="102" t="e">
        <f>'Abst(Admin)'!C84+'Abs(Hostel)'!C84+#REF!+'Abs(Hostel)'!C84</f>
        <v>#REF!</v>
      </c>
      <c r="D92" s="100" t="s">
        <v>32</v>
      </c>
      <c r="E92" s="102">
        <f>ANALYSIS!F877</f>
        <v>763.4</v>
      </c>
      <c r="F92" s="317" t="e">
        <f>E92*C92</f>
        <v>#REF!</v>
      </c>
    </row>
    <row r="93" spans="1:6" s="9" customFormat="1">
      <c r="A93" s="101"/>
      <c r="B93" s="316" t="s">
        <v>1214</v>
      </c>
      <c r="C93" s="759" t="e">
        <f>'Abst(Admin)'!C85+'Abs(Hostel)'!C85+'Abs(Hostel)'!C85</f>
        <v>#REF!</v>
      </c>
      <c r="D93" s="100" t="s">
        <v>32</v>
      </c>
      <c r="E93" s="102">
        <f>ANALYSIS!F882</f>
        <v>769.2</v>
      </c>
      <c r="F93" s="317" t="e">
        <f>E93*C93</f>
        <v>#REF!</v>
      </c>
    </row>
    <row r="94" spans="1:6" s="9" customFormat="1">
      <c r="A94" s="101"/>
      <c r="B94" s="316"/>
      <c r="C94" s="102"/>
      <c r="D94" s="100"/>
      <c r="E94" s="102"/>
      <c r="F94" s="317"/>
    </row>
    <row r="95" spans="1:6" s="20" customFormat="1" ht="25.5">
      <c r="A95" s="101">
        <v>18</v>
      </c>
      <c r="B95" s="156" t="s">
        <v>435</v>
      </c>
      <c r="C95" s="156"/>
      <c r="D95" s="156"/>
      <c r="E95" s="156"/>
      <c r="F95" s="156"/>
    </row>
    <row r="96" spans="1:6" s="20" customFormat="1">
      <c r="A96" s="101"/>
      <c r="B96" s="156" t="s">
        <v>1051</v>
      </c>
      <c r="C96" s="102" t="e">
        <f>'Abst(Admin)'!C88+'Abs(Hostel)'!C88+'Abs(Hostel)'!C88</f>
        <v>#REF!</v>
      </c>
      <c r="D96" s="100" t="s">
        <v>32</v>
      </c>
      <c r="E96" s="102">
        <f>ANALYSIS!F1465</f>
        <v>990.1</v>
      </c>
      <c r="F96" s="180" t="e">
        <f>E96*C96</f>
        <v>#REF!</v>
      </c>
    </row>
    <row r="97" spans="1:6" s="20" customFormat="1">
      <c r="A97" s="101"/>
      <c r="B97" s="156"/>
      <c r="C97" s="102"/>
      <c r="D97" s="100"/>
      <c r="E97" s="102"/>
      <c r="F97" s="180"/>
    </row>
    <row r="98" spans="1:6" s="9" customFormat="1" ht="178.5">
      <c r="A98" s="101">
        <v>19</v>
      </c>
      <c r="B98" s="181" t="s">
        <v>1251</v>
      </c>
      <c r="C98" s="102"/>
      <c r="D98" s="100"/>
      <c r="E98" s="102"/>
      <c r="F98" s="317"/>
    </row>
    <row r="99" spans="1:6" s="9" customFormat="1">
      <c r="A99" s="101"/>
      <c r="B99" s="316" t="s">
        <v>1051</v>
      </c>
      <c r="C99" s="759" t="e">
        <f>'Abst(Admin)'!#REF!</f>
        <v>#REF!</v>
      </c>
      <c r="D99" s="100" t="s">
        <v>32</v>
      </c>
      <c r="E99" s="102">
        <f>ANALYSIS!F944</f>
        <v>1069.9000000000001</v>
      </c>
      <c r="F99" s="317" t="e">
        <f>E99*C99</f>
        <v>#REF!</v>
      </c>
    </row>
    <row r="100" spans="1:6" s="9" customFormat="1">
      <c r="A100" s="101"/>
      <c r="B100" s="316"/>
      <c r="C100" s="102"/>
      <c r="D100" s="100"/>
      <c r="E100" s="102"/>
      <c r="F100" s="317"/>
    </row>
    <row r="101" spans="1:6" s="9" customFormat="1" ht="191.25">
      <c r="A101" s="101">
        <v>20</v>
      </c>
      <c r="B101" s="316" t="s">
        <v>1252</v>
      </c>
      <c r="C101" s="102"/>
      <c r="D101" s="100"/>
      <c r="E101" s="102"/>
      <c r="F101" s="317"/>
    </row>
    <row r="102" spans="1:6" s="9" customFormat="1">
      <c r="A102" s="101"/>
      <c r="B102" s="316" t="s">
        <v>1051</v>
      </c>
      <c r="C102" s="102" t="e">
        <f>'Abst(Admin)'!#REF!</f>
        <v>#REF!</v>
      </c>
      <c r="D102" s="100" t="s">
        <v>32</v>
      </c>
      <c r="E102" s="102">
        <f>ANALYSIS!F977</f>
        <v>1022.7</v>
      </c>
      <c r="F102" s="317" t="e">
        <f>E102*C102</f>
        <v>#REF!</v>
      </c>
    </row>
    <row r="103" spans="1:6" s="9" customFormat="1">
      <c r="A103" s="101"/>
      <c r="B103" s="316"/>
      <c r="C103" s="102"/>
      <c r="D103" s="100"/>
      <c r="E103" s="102"/>
      <c r="F103" s="317"/>
    </row>
    <row r="104" spans="1:6" s="9" customFormat="1" ht="78" customHeight="1">
      <c r="A104" s="101">
        <v>21</v>
      </c>
      <c r="B104" s="316" t="s">
        <v>1312</v>
      </c>
      <c r="C104" s="316"/>
      <c r="E104" s="102"/>
      <c r="F104" s="317"/>
    </row>
    <row r="105" spans="1:6" s="9" customFormat="1">
      <c r="A105" s="101"/>
      <c r="B105" s="316" t="s">
        <v>1051</v>
      </c>
      <c r="C105" s="484" t="e">
        <f>'Abst(Admin)'!C92+'Abs(Hostel)'!C91+#REF!+'Abs(Hostel)'!C91</f>
        <v>#REF!</v>
      </c>
      <c r="D105" s="100" t="s">
        <v>32</v>
      </c>
      <c r="E105" s="102">
        <f>ANALYSIS!G1486</f>
        <v>365.4</v>
      </c>
      <c r="F105" s="317" t="e">
        <f>E105*C105</f>
        <v>#REF!</v>
      </c>
    </row>
    <row r="106" spans="1:6" s="9" customFormat="1">
      <c r="A106" s="101"/>
      <c r="B106" s="316" t="s">
        <v>1214</v>
      </c>
      <c r="C106" s="484" t="e">
        <f>'Abst(Admin)'!C93+'Abs(Hostel)'!C92+#REF!+'Abs(Hostel)'!C92</f>
        <v>#REF!</v>
      </c>
      <c r="D106" s="100" t="s">
        <v>32</v>
      </c>
      <c r="E106" s="102">
        <f>ANALYSIS!G1491</f>
        <v>373.6</v>
      </c>
      <c r="F106" s="317" t="e">
        <f>E106*C106</f>
        <v>#REF!</v>
      </c>
    </row>
    <row r="107" spans="1:6" s="9" customFormat="1">
      <c r="A107" s="101"/>
      <c r="B107" s="316"/>
      <c r="C107" s="102"/>
      <c r="D107" s="100"/>
      <c r="E107" s="102"/>
      <c r="F107" s="317"/>
    </row>
    <row r="108" spans="1:6" s="9" customFormat="1" ht="114.75">
      <c r="A108" s="101">
        <v>22</v>
      </c>
      <c r="B108" s="156" t="s">
        <v>1055</v>
      </c>
      <c r="C108" s="102" t="e">
        <f>'Abst(Admin)'!C95+'Abs(Hostel)'!C94+#REF!+'Abs(Hostel)'!C94</f>
        <v>#REF!</v>
      </c>
      <c r="D108" s="100" t="s">
        <v>447</v>
      </c>
      <c r="E108" s="102">
        <f>ANALYSIS!F777</f>
        <v>71.099999999999994</v>
      </c>
      <c r="F108" s="317" t="e">
        <f>E108*C108</f>
        <v>#REF!</v>
      </c>
    </row>
    <row r="109" spans="1:6" s="445" customFormat="1">
      <c r="A109" s="101"/>
      <c r="B109" s="316"/>
      <c r="C109" s="370"/>
      <c r="D109" s="100"/>
      <c r="E109" s="102"/>
      <c r="F109" s="317"/>
    </row>
    <row r="110" spans="1:6" s="445" customFormat="1" ht="89.25">
      <c r="A110" s="101">
        <v>23</v>
      </c>
      <c r="B110" s="335" t="s">
        <v>981</v>
      </c>
      <c r="C110" s="102" t="e">
        <f>'Abst(Admin)'!C97+'Abs(Hostel)'!C96+#REF!+'Abs(Hostel)'!C96</f>
        <v>#REF!</v>
      </c>
      <c r="D110" s="100" t="s">
        <v>447</v>
      </c>
      <c r="E110" s="102">
        <f>ANALYSIS!F1191</f>
        <v>437</v>
      </c>
      <c r="F110" s="317" t="e">
        <f>E110*C110</f>
        <v>#REF!</v>
      </c>
    </row>
    <row r="111" spans="1:6" s="445" customFormat="1">
      <c r="A111" s="101"/>
      <c r="B111" s="335"/>
      <c r="C111" s="102"/>
      <c r="D111" s="100"/>
      <c r="E111" s="102"/>
      <c r="F111" s="317"/>
    </row>
    <row r="112" spans="1:6" s="445" customFormat="1" ht="102">
      <c r="A112" s="101">
        <v>24</v>
      </c>
      <c r="B112" s="156" t="s">
        <v>462</v>
      </c>
      <c r="C112" s="102"/>
      <c r="D112" s="100"/>
      <c r="E112" s="102"/>
      <c r="F112" s="317"/>
    </row>
    <row r="113" spans="1:9" s="445" customFormat="1">
      <c r="A113" s="101"/>
      <c r="B113" s="156" t="s">
        <v>1051</v>
      </c>
      <c r="C113" s="102" t="e">
        <f>'Abst(Admin)'!C100+'Abs(Hostel)'!C99+#REF!+'Abs(Hostel)'!C99</f>
        <v>#REF!</v>
      </c>
      <c r="D113" s="100" t="s">
        <v>434</v>
      </c>
      <c r="E113" s="102">
        <f>ANALYSIS!F800</f>
        <v>3358</v>
      </c>
      <c r="F113" s="317" t="e">
        <f>E113*C113</f>
        <v>#REF!</v>
      </c>
    </row>
    <row r="114" spans="1:9" s="445" customFormat="1">
      <c r="A114" s="101"/>
      <c r="B114" s="156" t="s">
        <v>1214</v>
      </c>
      <c r="C114" s="102" t="e">
        <f>'Abst(Admin)'!C101+'Abs(Hostel)'!C100+#REF!+'Abs(Hostel)'!C100</f>
        <v>#REF!</v>
      </c>
      <c r="D114" s="100" t="s">
        <v>434</v>
      </c>
      <c r="E114" s="102">
        <f>ANALYSIS!F806</f>
        <v>3360.9</v>
      </c>
      <c r="F114" s="317" t="e">
        <f>E114*C114</f>
        <v>#REF!</v>
      </c>
    </row>
    <row r="115" spans="1:9" s="9" customFormat="1">
      <c r="A115" s="101"/>
    </row>
    <row r="116" spans="1:9" s="9" customFormat="1" ht="127.5">
      <c r="A116" s="101">
        <v>25</v>
      </c>
      <c r="B116" s="156" t="s">
        <v>1056</v>
      </c>
      <c r="C116" s="102" t="e">
        <f>'Abst(Admin)'!C103+'Abs(Hostel)'!C102+#REF!+'Abs(Hostel)'!C102</f>
        <v>#REF!</v>
      </c>
      <c r="D116" s="100" t="s">
        <v>32</v>
      </c>
      <c r="E116" s="102">
        <f>(ANALYSIS!F1215+ANALYSIS!F1220)/2</f>
        <v>127.8</v>
      </c>
      <c r="F116" s="317" t="e">
        <f>E116*C116</f>
        <v>#REF!</v>
      </c>
    </row>
    <row r="117" spans="1:9" s="9" customFormat="1">
      <c r="A117" s="101"/>
      <c r="B117" s="156"/>
      <c r="C117" s="102"/>
      <c r="D117" s="100"/>
      <c r="E117" s="102"/>
      <c r="F117" s="317"/>
    </row>
    <row r="118" spans="1:9" s="9" customFormat="1" ht="51">
      <c r="A118" s="101">
        <v>26</v>
      </c>
      <c r="B118" s="156" t="s">
        <v>1253</v>
      </c>
      <c r="C118" s="102" t="e">
        <f>'Abst(Admin)'!C105+'Abs(Hostel)'!C104+#REF!+'Abs(Hostel)'!C104</f>
        <v>#REF!</v>
      </c>
      <c r="D118" s="100" t="s">
        <v>25</v>
      </c>
      <c r="E118" s="54">
        <v>68202.92</v>
      </c>
      <c r="F118" s="317" t="e">
        <f>E118*C118</f>
        <v>#REF!</v>
      </c>
    </row>
    <row r="119" spans="1:9" s="9" customFormat="1">
      <c r="A119" s="101"/>
      <c r="B119" s="316"/>
      <c r="I119" s="18"/>
    </row>
    <row r="120" spans="1:9" s="9" customFormat="1" ht="191.25">
      <c r="A120" s="101">
        <v>27</v>
      </c>
      <c r="B120" s="3" t="s">
        <v>1215</v>
      </c>
      <c r="C120" s="54" t="e">
        <f>'Abst(Admin)'!C107+'Abs(Hostel)'!C106+#REF!+'Abs(Hostel)'!C106</f>
        <v>#REF!</v>
      </c>
      <c r="D120" s="100" t="s">
        <v>32</v>
      </c>
      <c r="E120" s="102">
        <f>ANALYSIS!F1383</f>
        <v>5509</v>
      </c>
      <c r="F120" s="317" t="e">
        <f>E120*C120</f>
        <v>#REF!</v>
      </c>
    </row>
    <row r="121" spans="1:9" s="9" customFormat="1">
      <c r="A121" s="101"/>
      <c r="B121" s="333"/>
      <c r="C121" s="54"/>
      <c r="D121" s="54"/>
      <c r="E121" s="444"/>
      <c r="F121" s="317"/>
    </row>
    <row r="122" spans="1:9" ht="306">
      <c r="A122" s="133">
        <v>28</v>
      </c>
      <c r="B122" s="156" t="s">
        <v>650</v>
      </c>
      <c r="C122" s="180" t="e">
        <f>'Abst(Admin)'!C109+'Abs(Hostel)'!C108+#REF!+'Abs(Hostel)'!C108</f>
        <v>#REF!</v>
      </c>
      <c r="D122" s="180" t="s">
        <v>350</v>
      </c>
      <c r="E122" s="180">
        <v>2503</v>
      </c>
      <c r="F122" s="317" t="e">
        <f>E122*C122</f>
        <v>#REF!</v>
      </c>
    </row>
    <row r="123" spans="1:9">
      <c r="A123" s="101"/>
      <c r="B123" s="156"/>
      <c r="C123" s="54"/>
      <c r="D123" s="100"/>
      <c r="E123" s="444"/>
      <c r="F123" s="317"/>
    </row>
    <row r="124" spans="1:9" ht="165.75">
      <c r="A124" s="133">
        <v>29</v>
      </c>
      <c r="B124" s="181" t="s">
        <v>649</v>
      </c>
      <c r="C124" s="102" t="e">
        <f>'Abst(Admin)'!C111+'Abs(Hostel)'!C110+#REF!+'Abs(Hostel)'!C110</f>
        <v>#REF!</v>
      </c>
      <c r="D124" s="100" t="s">
        <v>434</v>
      </c>
      <c r="E124" s="16">
        <v>339.5</v>
      </c>
      <c r="F124" s="317" t="e">
        <f>E124*C124</f>
        <v>#REF!</v>
      </c>
    </row>
    <row r="125" spans="1:9">
      <c r="A125" s="101"/>
      <c r="B125" s="156"/>
      <c r="C125" s="54"/>
      <c r="D125" s="54"/>
      <c r="E125" s="305"/>
      <c r="F125" s="317"/>
    </row>
    <row r="126" spans="1:9" ht="102">
      <c r="A126" s="101">
        <v>30</v>
      </c>
      <c r="B126" s="181" t="s">
        <v>1058</v>
      </c>
      <c r="C126" s="102" t="e">
        <f>'Abst(Admin)'!C113+'Abs(Hostel)'!C112+#REF!+'Abs(Hostel)'!C112</f>
        <v>#REF!</v>
      </c>
      <c r="D126" s="100" t="s">
        <v>32</v>
      </c>
      <c r="E126" s="180">
        <v>3500</v>
      </c>
      <c r="F126" s="317" t="e">
        <f>E126*C126</f>
        <v>#REF!</v>
      </c>
    </row>
    <row r="127" spans="1:9">
      <c r="A127" s="101"/>
      <c r="B127" s="181"/>
      <c r="C127" s="102"/>
      <c r="D127" s="100"/>
      <c r="E127" s="102"/>
      <c r="F127" s="461"/>
    </row>
    <row r="128" spans="1:9">
      <c r="A128" s="17"/>
      <c r="B128" s="9"/>
      <c r="C128" s="18"/>
      <c r="D128" s="9"/>
      <c r="E128" s="135" t="s">
        <v>117</v>
      </c>
      <c r="F128" s="442" t="e">
        <f>SUM(F2:F127)</f>
        <v>#REF!</v>
      </c>
    </row>
    <row r="129" spans="1:9">
      <c r="A129" s="17"/>
      <c r="B129" s="9"/>
      <c r="C129" s="9"/>
      <c r="D129" s="9"/>
      <c r="E129" s="53" t="s">
        <v>120</v>
      </c>
      <c r="F129" s="479" t="e">
        <f>ROUND(F128,0)</f>
        <v>#REF!</v>
      </c>
    </row>
    <row r="130" spans="1:9">
      <c r="A130" s="17"/>
      <c r="B130" s="9"/>
      <c r="C130" s="9"/>
      <c r="D130" s="9"/>
      <c r="E130" s="53"/>
      <c r="F130" s="479"/>
    </row>
    <row r="139" spans="1:9">
      <c r="I139" s="477"/>
    </row>
  </sheetData>
  <mergeCells count="1">
    <mergeCell ref="A1:F1"/>
  </mergeCells>
  <printOptions horizontalCentered="1" gridLines="1"/>
  <pageMargins left="0.44685039399999998" right="0.44685039399999998" top="1.1968503939999999" bottom="0.94685039400000004" header="0.31496062992126" footer="0.31496062992126"/>
  <pageSetup paperSize="9" orientation="portrait" verticalDpi="300" r:id="rId1"/>
  <headerFooter>
    <oddHeader>&amp;C&amp;"Arial,Bold"&amp;12PROJECT:-&amp;"Arial,Regular"
PROPOSED CONSTRUCTION OF EMRS (Ekalavya Model Residential School)
 AT BIKRAMPUR, DIST:-RAYAGADA, ODISHA.</oddHeader>
    <oddFooter>&amp;L&amp;"Arial,Bold"&amp;11HSCL&amp;R&amp;"Arial,Bold"&amp;11BUILD SOL</oddFooter>
  </headerFooter>
  <rowBreaks count="1" manualBreakCount="1">
    <brk id="116"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7" zoomScale="90" zoomScaleSheetLayoutView="90" workbookViewId="0">
      <selection activeCell="B22" sqref="B22:F22"/>
    </sheetView>
  </sheetViews>
  <sheetFormatPr defaultRowHeight="12.75"/>
  <cols>
    <col min="1" max="1" width="9.140625" customWidth="1"/>
    <col min="6" max="6" width="3.7109375" customWidth="1"/>
    <col min="9" max="9" width="2" customWidth="1"/>
    <col min="10" max="10" width="21.28515625" customWidth="1"/>
  </cols>
  <sheetData>
    <row r="1" spans="1:10" ht="27" customHeight="1">
      <c r="A1" s="1196" t="s">
        <v>1820</v>
      </c>
      <c r="B1" s="1311" t="s">
        <v>1817</v>
      </c>
      <c r="C1" s="1312"/>
      <c r="D1" s="1312"/>
      <c r="E1" s="1312"/>
      <c r="F1" s="1312"/>
      <c r="G1" s="1312"/>
      <c r="H1" s="1312"/>
      <c r="I1" s="1312"/>
      <c r="J1" s="1313"/>
    </row>
    <row r="2" spans="1:10" ht="27.75" customHeight="1">
      <c r="A2" s="1196" t="s">
        <v>1818</v>
      </c>
      <c r="B2" s="1297"/>
      <c r="C2" s="1297"/>
      <c r="D2" s="1297"/>
      <c r="E2" s="1297"/>
      <c r="F2" s="1297"/>
      <c r="G2" s="1297"/>
      <c r="H2" s="1297"/>
      <c r="I2" s="1297"/>
      <c r="J2" s="1297"/>
    </row>
    <row r="3" spans="1:10" ht="15">
      <c r="A3" s="1297" t="s">
        <v>1939</v>
      </c>
      <c r="B3" s="1297"/>
      <c r="C3" s="1297"/>
      <c r="D3" s="1297"/>
      <c r="E3" s="1297"/>
      <c r="F3" s="1297"/>
      <c r="G3" s="1297"/>
      <c r="H3" s="1297"/>
      <c r="I3" s="1297"/>
      <c r="J3" s="1297"/>
    </row>
    <row r="4" spans="1:10" ht="25.5">
      <c r="A4" s="1129" t="s">
        <v>172</v>
      </c>
      <c r="B4" s="1298" t="s">
        <v>19</v>
      </c>
      <c r="C4" s="1299"/>
      <c r="D4" s="1299"/>
      <c r="E4" s="1299"/>
      <c r="F4" s="1299"/>
      <c r="G4" s="1300" t="s">
        <v>1940</v>
      </c>
      <c r="H4" s="1300"/>
      <c r="I4" s="1300"/>
      <c r="J4" s="1197" t="s">
        <v>1941</v>
      </c>
    </row>
    <row r="5" spans="1:10">
      <c r="A5" s="1129"/>
      <c r="B5" s="1301" t="s">
        <v>1942</v>
      </c>
      <c r="C5" s="1301"/>
      <c r="D5" s="1301"/>
      <c r="E5" s="1301"/>
      <c r="F5" s="1301"/>
      <c r="G5" s="1298"/>
      <c r="H5" s="1298"/>
      <c r="I5" s="1298"/>
      <c r="J5" s="861"/>
    </row>
    <row r="6" spans="1:10" ht="18" customHeight="1">
      <c r="A6" s="865">
        <v>1</v>
      </c>
      <c r="B6" s="1302" t="s">
        <v>1943</v>
      </c>
      <c r="C6" s="1302"/>
      <c r="D6" s="1302"/>
      <c r="E6" s="1302"/>
      <c r="F6" s="1302"/>
      <c r="G6" s="1303"/>
      <c r="H6" s="1303"/>
      <c r="I6" s="1303"/>
      <c r="J6" s="861"/>
    </row>
    <row r="7" spans="1:10" ht="18" customHeight="1">
      <c r="A7" s="865">
        <f>A6+1</f>
        <v>2</v>
      </c>
      <c r="B7" s="1302" t="s">
        <v>1540</v>
      </c>
      <c r="C7" s="1302"/>
      <c r="D7" s="1302"/>
      <c r="E7" s="1302"/>
      <c r="F7" s="1302"/>
      <c r="G7" s="1303"/>
      <c r="H7" s="1303"/>
      <c r="I7" s="1303"/>
      <c r="J7" s="861"/>
    </row>
    <row r="8" spans="1:10" ht="18" customHeight="1">
      <c r="A8" s="865">
        <f>A7+1</f>
        <v>3</v>
      </c>
      <c r="B8" s="1302" t="s">
        <v>1944</v>
      </c>
      <c r="C8" s="1302"/>
      <c r="D8" s="1302"/>
      <c r="E8" s="1302"/>
      <c r="F8" s="1302"/>
      <c r="G8" s="1303"/>
      <c r="H8" s="1303"/>
      <c r="I8" s="1303"/>
      <c r="J8" s="861"/>
    </row>
    <row r="9" spans="1:10" ht="18" customHeight="1">
      <c r="A9" s="865">
        <f t="shared" ref="A9:A23" si="0">A8+1</f>
        <v>4</v>
      </c>
      <c r="B9" s="1302" t="s">
        <v>1945</v>
      </c>
      <c r="C9" s="1302"/>
      <c r="D9" s="1302"/>
      <c r="E9" s="1302"/>
      <c r="F9" s="1302"/>
      <c r="G9" s="1303"/>
      <c r="H9" s="1303"/>
      <c r="I9" s="1303"/>
      <c r="J9" s="861"/>
    </row>
    <row r="10" spans="1:10" ht="18" customHeight="1">
      <c r="A10" s="865">
        <f t="shared" si="0"/>
        <v>5</v>
      </c>
      <c r="B10" s="1302" t="s">
        <v>1568</v>
      </c>
      <c r="C10" s="1302"/>
      <c r="D10" s="1302"/>
      <c r="E10" s="1302"/>
      <c r="F10" s="1302"/>
      <c r="G10" s="1303"/>
      <c r="H10" s="1303"/>
      <c r="I10" s="1303"/>
      <c r="J10" s="861"/>
    </row>
    <row r="11" spans="1:10" ht="18" customHeight="1">
      <c r="A11" s="865">
        <f t="shared" si="0"/>
        <v>6</v>
      </c>
      <c r="B11" s="1302" t="s">
        <v>1509</v>
      </c>
      <c r="C11" s="1302"/>
      <c r="D11" s="1302"/>
      <c r="E11" s="1302"/>
      <c r="F11" s="1302"/>
      <c r="G11" s="1303"/>
      <c r="H11" s="1303"/>
      <c r="I11" s="1303"/>
      <c r="J11" s="861"/>
    </row>
    <row r="12" spans="1:10" ht="18" customHeight="1">
      <c r="A12" s="865">
        <f t="shared" si="0"/>
        <v>7</v>
      </c>
      <c r="B12" s="1302" t="s">
        <v>1165</v>
      </c>
      <c r="C12" s="1302"/>
      <c r="D12" s="1302"/>
      <c r="E12" s="1302"/>
      <c r="F12" s="1302"/>
      <c r="G12" s="1303"/>
      <c r="H12" s="1303"/>
      <c r="I12" s="1303"/>
      <c r="J12" s="861"/>
    </row>
    <row r="13" spans="1:10" ht="18" customHeight="1">
      <c r="A13" s="865">
        <f t="shared" si="0"/>
        <v>8</v>
      </c>
      <c r="B13" s="1302" t="s">
        <v>1612</v>
      </c>
      <c r="C13" s="1302"/>
      <c r="D13" s="1302"/>
      <c r="E13" s="1302"/>
      <c r="F13" s="1302"/>
      <c r="G13" s="1303"/>
      <c r="H13" s="1303"/>
      <c r="I13" s="1303"/>
      <c r="J13" s="861"/>
    </row>
    <row r="14" spans="1:10" ht="18" customHeight="1">
      <c r="A14" s="865">
        <f t="shared" si="0"/>
        <v>9</v>
      </c>
      <c r="B14" s="1302" t="s">
        <v>1524</v>
      </c>
      <c r="C14" s="1302"/>
      <c r="D14" s="1302"/>
      <c r="E14" s="1302"/>
      <c r="F14" s="1302"/>
      <c r="G14" s="1303"/>
      <c r="H14" s="1303"/>
      <c r="I14" s="1303"/>
      <c r="J14" s="861"/>
    </row>
    <row r="15" spans="1:10" ht="18" customHeight="1">
      <c r="A15" s="865">
        <f t="shared" si="0"/>
        <v>10</v>
      </c>
      <c r="B15" s="1302" t="s">
        <v>1639</v>
      </c>
      <c r="C15" s="1302"/>
      <c r="D15" s="1302"/>
      <c r="E15" s="1302"/>
      <c r="F15" s="1302"/>
      <c r="G15" s="1303"/>
      <c r="H15" s="1303"/>
      <c r="I15" s="1303"/>
      <c r="J15" s="861"/>
    </row>
    <row r="16" spans="1:10" ht="18" customHeight="1">
      <c r="A16" s="865">
        <f t="shared" si="0"/>
        <v>11</v>
      </c>
      <c r="B16" s="1302" t="s">
        <v>1650</v>
      </c>
      <c r="C16" s="1302"/>
      <c r="D16" s="1302"/>
      <c r="E16" s="1302"/>
      <c r="F16" s="1302"/>
      <c r="G16" s="1303"/>
      <c r="H16" s="1303"/>
      <c r="I16" s="1303"/>
      <c r="J16" s="861"/>
    </row>
    <row r="17" spans="1:10" ht="18" customHeight="1">
      <c r="A17" s="865">
        <f t="shared" si="0"/>
        <v>12</v>
      </c>
      <c r="B17" s="1302" t="s">
        <v>1530</v>
      </c>
      <c r="C17" s="1302"/>
      <c r="D17" s="1302"/>
      <c r="E17" s="1302"/>
      <c r="F17" s="1302"/>
      <c r="G17" s="1303"/>
      <c r="H17" s="1303"/>
      <c r="I17" s="1303"/>
      <c r="J17" s="861"/>
    </row>
    <row r="18" spans="1:10" ht="18" customHeight="1">
      <c r="A18" s="865">
        <f t="shared" si="0"/>
        <v>13</v>
      </c>
      <c r="B18" s="1302" t="s">
        <v>1734</v>
      </c>
      <c r="C18" s="1302"/>
      <c r="D18" s="1302"/>
      <c r="E18" s="1302"/>
      <c r="F18" s="1302"/>
      <c r="G18" s="1303"/>
      <c r="H18" s="1303"/>
      <c r="I18" s="1303"/>
      <c r="J18" s="861"/>
    </row>
    <row r="19" spans="1:10" ht="18" customHeight="1">
      <c r="A19" s="865">
        <f t="shared" si="0"/>
        <v>14</v>
      </c>
      <c r="B19" s="1302" t="s">
        <v>1526</v>
      </c>
      <c r="C19" s="1302"/>
      <c r="D19" s="1302"/>
      <c r="E19" s="1302"/>
      <c r="F19" s="1302"/>
      <c r="G19" s="1303"/>
      <c r="H19" s="1303"/>
      <c r="I19" s="1303"/>
      <c r="J19" s="861"/>
    </row>
    <row r="20" spans="1:10" ht="18" customHeight="1">
      <c r="A20" s="865">
        <f t="shared" si="0"/>
        <v>15</v>
      </c>
      <c r="B20" s="1302" t="s">
        <v>1756</v>
      </c>
      <c r="C20" s="1302"/>
      <c r="D20" s="1302"/>
      <c r="E20" s="1302"/>
      <c r="F20" s="1302"/>
      <c r="G20" s="1303"/>
      <c r="H20" s="1303"/>
      <c r="I20" s="1303"/>
      <c r="J20" s="861"/>
    </row>
    <row r="21" spans="1:10" ht="27" customHeight="1">
      <c r="A21" s="865">
        <f t="shared" si="0"/>
        <v>16</v>
      </c>
      <c r="B21" s="1305" t="s">
        <v>1786</v>
      </c>
      <c r="C21" s="1306"/>
      <c r="D21" s="1306"/>
      <c r="E21" s="1306"/>
      <c r="F21" s="1307"/>
      <c r="G21" s="1303"/>
      <c r="H21" s="1303"/>
      <c r="I21" s="1303"/>
      <c r="J21" s="861"/>
    </row>
    <row r="22" spans="1:10" ht="18" customHeight="1">
      <c r="A22" s="865">
        <f t="shared" si="0"/>
        <v>17</v>
      </c>
      <c r="B22" s="1308" t="s">
        <v>1946</v>
      </c>
      <c r="C22" s="1309"/>
      <c r="D22" s="1309"/>
      <c r="E22" s="1309"/>
      <c r="F22" s="1309"/>
      <c r="G22" s="1303"/>
      <c r="H22" s="1303"/>
      <c r="I22" s="1303"/>
      <c r="J22" s="861"/>
    </row>
    <row r="23" spans="1:10" ht="18" customHeight="1">
      <c r="A23" s="865">
        <f t="shared" si="0"/>
        <v>18</v>
      </c>
      <c r="B23" s="1302" t="s">
        <v>1947</v>
      </c>
      <c r="C23" s="1302"/>
      <c r="D23" s="1302"/>
      <c r="E23" s="1302"/>
      <c r="F23" s="1302"/>
      <c r="G23" s="1303"/>
      <c r="H23" s="1303"/>
      <c r="I23" s="1303"/>
      <c r="J23" s="861"/>
    </row>
    <row r="24" spans="1:10">
      <c r="A24" s="865"/>
      <c r="B24" s="1301" t="s">
        <v>1948</v>
      </c>
      <c r="C24" s="1301"/>
      <c r="D24" s="1301"/>
      <c r="E24" s="1301"/>
      <c r="F24" s="1301"/>
      <c r="G24" s="1318"/>
      <c r="H24" s="1318"/>
      <c r="I24" s="1318"/>
      <c r="J24" s="861"/>
    </row>
    <row r="25" spans="1:10" ht="18" customHeight="1">
      <c r="A25" s="865">
        <v>19</v>
      </c>
      <c r="B25" s="1302" t="s">
        <v>1827</v>
      </c>
      <c r="C25" s="1302"/>
      <c r="D25" s="1302"/>
      <c r="E25" s="1302"/>
      <c r="F25" s="1302"/>
      <c r="G25" s="1303"/>
      <c r="H25" s="1303"/>
      <c r="I25" s="1303"/>
      <c r="J25" s="861"/>
    </row>
    <row r="26" spans="1:10" ht="18" customHeight="1">
      <c r="A26" s="865">
        <v>20</v>
      </c>
      <c r="B26" s="1302" t="s">
        <v>1949</v>
      </c>
      <c r="C26" s="1302"/>
      <c r="D26" s="1302"/>
      <c r="E26" s="1302"/>
      <c r="F26" s="1302"/>
      <c r="G26" s="1304"/>
      <c r="H26" s="1304"/>
      <c r="I26" s="1304"/>
      <c r="J26" s="861"/>
    </row>
    <row r="27" spans="1:10" ht="18" customHeight="1">
      <c r="A27" s="865">
        <v>21</v>
      </c>
      <c r="B27" s="1302" t="s">
        <v>1868</v>
      </c>
      <c r="C27" s="1302"/>
      <c r="D27" s="1302"/>
      <c r="E27" s="1302"/>
      <c r="F27" s="1302"/>
      <c r="G27" s="1303"/>
      <c r="H27" s="1303"/>
      <c r="I27" s="1303"/>
      <c r="J27" s="861"/>
    </row>
    <row r="28" spans="1:10" ht="18" customHeight="1">
      <c r="A28" s="865">
        <v>22</v>
      </c>
      <c r="B28" s="1302" t="s">
        <v>1950</v>
      </c>
      <c r="C28" s="1302"/>
      <c r="D28" s="1302"/>
      <c r="E28" s="1302"/>
      <c r="F28" s="1302"/>
      <c r="G28" s="1303"/>
      <c r="H28" s="1303"/>
      <c r="I28" s="1303"/>
      <c r="J28" s="861"/>
    </row>
    <row r="29" spans="1:10" ht="18" customHeight="1">
      <c r="A29" s="865">
        <v>23</v>
      </c>
      <c r="B29" s="1302" t="s">
        <v>1917</v>
      </c>
      <c r="C29" s="1302"/>
      <c r="D29" s="1302"/>
      <c r="E29" s="1302"/>
      <c r="F29" s="1302"/>
      <c r="G29" s="1303"/>
      <c r="H29" s="1303"/>
      <c r="I29" s="1303"/>
      <c r="J29" s="861"/>
    </row>
    <row r="30" spans="1:10" ht="18" customHeight="1">
      <c r="A30" s="865">
        <v>24</v>
      </c>
      <c r="B30" s="1302" t="s">
        <v>1921</v>
      </c>
      <c r="C30" s="1302"/>
      <c r="D30" s="1302"/>
      <c r="E30" s="1302"/>
      <c r="F30" s="1302"/>
      <c r="G30" s="1303"/>
      <c r="H30" s="1303"/>
      <c r="I30" s="1303"/>
      <c r="J30" s="861"/>
    </row>
    <row r="31" spans="1:10" ht="18" customHeight="1">
      <c r="A31" s="865">
        <v>25</v>
      </c>
      <c r="B31" s="1302" t="s">
        <v>1951</v>
      </c>
      <c r="C31" s="1302"/>
      <c r="D31" s="1302"/>
      <c r="E31" s="1302"/>
      <c r="F31" s="1302"/>
      <c r="G31" s="1303"/>
      <c r="H31" s="1303"/>
      <c r="I31" s="1303"/>
      <c r="J31" s="861"/>
    </row>
    <row r="32" spans="1:10">
      <c r="A32" s="1129"/>
      <c r="B32" s="1314" t="s">
        <v>1952</v>
      </c>
      <c r="C32" s="1315"/>
      <c r="D32" s="1315"/>
      <c r="E32" s="1315"/>
      <c r="F32" s="1316"/>
      <c r="G32" s="1317"/>
      <c r="H32" s="1317"/>
      <c r="I32" s="1317"/>
      <c r="J32" s="861"/>
    </row>
    <row r="33" spans="1:10" ht="25.5" customHeight="1">
      <c r="A33" s="1310"/>
      <c r="B33" s="1310"/>
      <c r="C33" s="1310"/>
      <c r="D33" s="1310"/>
      <c r="E33" s="1310"/>
      <c r="F33" s="1310"/>
      <c r="G33" s="1310"/>
      <c r="H33" s="1310"/>
      <c r="I33" s="1310"/>
      <c r="J33" s="1310"/>
    </row>
  </sheetData>
  <mergeCells count="62">
    <mergeCell ref="A33:J33"/>
    <mergeCell ref="B1:J1"/>
    <mergeCell ref="B30:F30"/>
    <mergeCell ref="G30:I30"/>
    <mergeCell ref="B31:F31"/>
    <mergeCell ref="G31:I31"/>
    <mergeCell ref="B32:F32"/>
    <mergeCell ref="G32:I32"/>
    <mergeCell ref="B27:F27"/>
    <mergeCell ref="G27:I27"/>
    <mergeCell ref="B28:F28"/>
    <mergeCell ref="G28:I28"/>
    <mergeCell ref="B29:F29"/>
    <mergeCell ref="G29:I29"/>
    <mergeCell ref="B24:F24"/>
    <mergeCell ref="G24:I24"/>
    <mergeCell ref="B25:F25"/>
    <mergeCell ref="G25:I25"/>
    <mergeCell ref="B26:F26"/>
    <mergeCell ref="G26:I26"/>
    <mergeCell ref="B21:F21"/>
    <mergeCell ref="G21:I21"/>
    <mergeCell ref="B22:F22"/>
    <mergeCell ref="G22:I22"/>
    <mergeCell ref="B23:F23"/>
    <mergeCell ref="G23:I23"/>
    <mergeCell ref="B18:F18"/>
    <mergeCell ref="G18:I18"/>
    <mergeCell ref="B19:F19"/>
    <mergeCell ref="G19:I19"/>
    <mergeCell ref="B20:F20"/>
    <mergeCell ref="G20:I20"/>
    <mergeCell ref="B15:F15"/>
    <mergeCell ref="G15:I15"/>
    <mergeCell ref="B16:F16"/>
    <mergeCell ref="G16:I16"/>
    <mergeCell ref="B17:F17"/>
    <mergeCell ref="G17:I17"/>
    <mergeCell ref="B12:F12"/>
    <mergeCell ref="G12:I12"/>
    <mergeCell ref="B13:F13"/>
    <mergeCell ref="G13:I13"/>
    <mergeCell ref="B14:F14"/>
    <mergeCell ref="G14:I14"/>
    <mergeCell ref="B9:F9"/>
    <mergeCell ref="G9:I9"/>
    <mergeCell ref="B10:F10"/>
    <mergeCell ref="G10:I10"/>
    <mergeCell ref="B11:F11"/>
    <mergeCell ref="G11:I11"/>
    <mergeCell ref="B6:F6"/>
    <mergeCell ref="G6:I6"/>
    <mergeCell ref="B7:F7"/>
    <mergeCell ref="G7:I7"/>
    <mergeCell ref="B8:F8"/>
    <mergeCell ref="G8:I8"/>
    <mergeCell ref="B2:J2"/>
    <mergeCell ref="A3:J3"/>
    <mergeCell ref="B4:F4"/>
    <mergeCell ref="G4:I4"/>
    <mergeCell ref="B5:F5"/>
    <mergeCell ref="G5:I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9"/>
  <sheetViews>
    <sheetView tabSelected="1" view="pageBreakPreview" topLeftCell="A566" zoomScale="85" zoomScaleNormal="85" zoomScaleSheetLayoutView="85" workbookViewId="0">
      <selection activeCell="C2" sqref="C2:I2"/>
    </sheetView>
  </sheetViews>
  <sheetFormatPr defaultRowHeight="12.75"/>
  <cols>
    <col min="1" max="1" width="10.7109375" style="108" customWidth="1"/>
    <col min="2" max="2" width="6.7109375" hidden="1" customWidth="1"/>
    <col min="3" max="3" width="41.140625" customWidth="1"/>
    <col min="4" max="4" width="12.140625" customWidth="1"/>
    <col min="5" max="5" width="9.7109375" bestFit="1" customWidth="1"/>
    <col min="6" max="6" width="14.5703125" style="9" bestFit="1" customWidth="1"/>
    <col min="7" max="7" width="12.7109375" style="9" customWidth="1"/>
    <col min="8" max="8" width="18.140625" customWidth="1"/>
    <col min="9" max="9" width="18.5703125" customWidth="1"/>
    <col min="10" max="10" width="20" customWidth="1"/>
    <col min="11" max="11" width="14.28515625" bestFit="1" customWidth="1"/>
  </cols>
  <sheetData>
    <row r="1" spans="1:9" ht="64.5" customHeight="1">
      <c r="A1" s="1152" t="s">
        <v>1820</v>
      </c>
      <c r="B1" s="1146"/>
      <c r="C1" s="1327" t="s">
        <v>1817</v>
      </c>
      <c r="D1" s="1327"/>
      <c r="E1" s="1327"/>
      <c r="F1" s="1327"/>
      <c r="G1" s="1327"/>
      <c r="H1" s="1327"/>
      <c r="I1" s="1328"/>
    </row>
    <row r="2" spans="1:9" ht="45" customHeight="1">
      <c r="A2" s="1143" t="s">
        <v>1818</v>
      </c>
      <c r="B2" s="1147"/>
      <c r="C2" s="1323"/>
      <c r="D2" s="1323"/>
      <c r="E2" s="1323"/>
      <c r="F2" s="1323"/>
      <c r="G2" s="1323"/>
      <c r="H2" s="1323"/>
      <c r="I2" s="1323"/>
    </row>
    <row r="3" spans="1:9" ht="15.75" customHeight="1">
      <c r="A3" s="1324" t="s">
        <v>1819</v>
      </c>
      <c r="B3" s="1324"/>
      <c r="C3" s="1324"/>
      <c r="D3" s="1324"/>
      <c r="E3" s="1324"/>
      <c r="F3" s="1324"/>
      <c r="G3" s="1324"/>
      <c r="H3" s="1324"/>
      <c r="I3" s="1324"/>
    </row>
    <row r="4" spans="1:9" ht="51">
      <c r="A4" s="1149" t="s">
        <v>172</v>
      </c>
      <c r="B4" s="1149" t="s">
        <v>1486</v>
      </c>
      <c r="C4" s="1149" t="s">
        <v>1487</v>
      </c>
      <c r="D4" s="1150" t="s">
        <v>1938</v>
      </c>
      <c r="E4" s="1151" t="s">
        <v>1825</v>
      </c>
      <c r="F4" s="1153" t="s">
        <v>1821</v>
      </c>
      <c r="G4" s="1153" t="s">
        <v>1824</v>
      </c>
      <c r="H4" s="1150" t="s">
        <v>1823</v>
      </c>
      <c r="I4" s="1154" t="s">
        <v>1822</v>
      </c>
    </row>
    <row r="5" spans="1:9" ht="16.5" customHeight="1">
      <c r="A5" s="1157">
        <v>1</v>
      </c>
      <c r="B5" s="1157"/>
      <c r="C5" s="1158">
        <v>2</v>
      </c>
      <c r="D5" s="1159">
        <v>3</v>
      </c>
      <c r="E5" s="1159">
        <v>4</v>
      </c>
      <c r="F5" s="1159">
        <v>5</v>
      </c>
      <c r="G5" s="1159">
        <v>6</v>
      </c>
      <c r="H5" s="1159">
        <v>7</v>
      </c>
      <c r="I5" s="1159">
        <v>8</v>
      </c>
    </row>
    <row r="6" spans="1:9" ht="16.5" customHeight="1">
      <c r="A6" s="1329" t="s">
        <v>1937</v>
      </c>
      <c r="B6" s="1330"/>
      <c r="C6" s="1330"/>
      <c r="D6" s="1330"/>
      <c r="E6" s="1330"/>
      <c r="F6" s="1330"/>
      <c r="G6" s="1330"/>
      <c r="H6" s="1330"/>
      <c r="I6" s="1331"/>
    </row>
    <row r="7" spans="1:9" s="1127" customFormat="1" ht="15">
      <c r="A7" s="877">
        <v>1</v>
      </c>
      <c r="B7" s="877"/>
      <c r="C7" s="1137" t="s">
        <v>1534</v>
      </c>
      <c r="D7" s="851"/>
      <c r="E7" s="1134"/>
      <c r="F7" s="1134"/>
      <c r="G7" s="1134"/>
      <c r="H7" s="1135"/>
      <c r="I7" s="1135"/>
    </row>
    <row r="8" spans="1:9" s="1124" customFormat="1" ht="108.75" customHeight="1">
      <c r="A8" s="1122">
        <v>1.1000000000000001</v>
      </c>
      <c r="B8" s="1123" t="s">
        <v>1488</v>
      </c>
      <c r="C8" s="1185" t="s">
        <v>1485</v>
      </c>
      <c r="D8" s="1126"/>
      <c r="E8" s="1155"/>
      <c r="F8" s="863"/>
      <c r="G8" s="863"/>
      <c r="H8" s="973"/>
      <c r="I8" s="973"/>
    </row>
    <row r="9" spans="1:9" s="1124" customFormat="1">
      <c r="A9" s="1128" t="s">
        <v>1535</v>
      </c>
      <c r="B9" s="1125"/>
      <c r="C9" s="1185" t="s">
        <v>1489</v>
      </c>
      <c r="D9" s="1144">
        <v>981.6254337119999</v>
      </c>
      <c r="E9" s="1156" t="s">
        <v>25</v>
      </c>
      <c r="F9" s="1120"/>
      <c r="G9" s="1120"/>
      <c r="H9" s="1121"/>
      <c r="I9" s="1121"/>
    </row>
    <row r="10" spans="1:9" s="1124" customFormat="1">
      <c r="A10" s="1128"/>
      <c r="B10" s="1125"/>
      <c r="C10" s="1185"/>
      <c r="D10" s="1126"/>
      <c r="E10" s="1156"/>
      <c r="F10" s="1120"/>
      <c r="G10" s="1120"/>
      <c r="H10" s="1121"/>
      <c r="I10" s="1121"/>
    </row>
    <row r="11" spans="1:9" s="1124" customFormat="1" ht="108" customHeight="1">
      <c r="A11" s="1128">
        <v>1.2</v>
      </c>
      <c r="B11" s="1125"/>
      <c r="C11" s="1185" t="s">
        <v>1485</v>
      </c>
      <c r="D11" s="1126"/>
      <c r="E11" s="1156"/>
      <c r="F11" s="1120"/>
      <c r="G11" s="1120"/>
      <c r="H11" s="1121"/>
      <c r="I11" s="1121"/>
    </row>
    <row r="12" spans="1:9" s="1124" customFormat="1">
      <c r="A12" s="1128" t="s">
        <v>1536</v>
      </c>
      <c r="B12" s="1125"/>
      <c r="C12" s="1185" t="s">
        <v>1533</v>
      </c>
      <c r="D12" s="1144">
        <v>1472.4381505679999</v>
      </c>
      <c r="E12" s="1156" t="s">
        <v>25</v>
      </c>
      <c r="F12" s="1120"/>
      <c r="G12" s="1120"/>
      <c r="H12" s="1121"/>
      <c r="I12" s="1121"/>
    </row>
    <row r="13" spans="1:9">
      <c r="A13" s="910"/>
      <c r="B13" s="861"/>
      <c r="C13" s="861"/>
      <c r="D13" s="910"/>
      <c r="E13" s="861"/>
      <c r="F13" s="855"/>
      <c r="G13" s="855"/>
      <c r="H13" s="1120"/>
      <c r="I13" s="1120"/>
    </row>
    <row r="14" spans="1:9" s="1124" customFormat="1" ht="65.25" customHeight="1">
      <c r="A14" s="1122">
        <v>1.3</v>
      </c>
      <c r="B14" s="1125"/>
      <c r="C14" s="1185" t="s">
        <v>1495</v>
      </c>
      <c r="D14" s="1144">
        <v>400.04905499999995</v>
      </c>
      <c r="E14" s="1156" t="s">
        <v>25</v>
      </c>
      <c r="F14" s="1120"/>
      <c r="G14" s="1120"/>
      <c r="H14" s="1121"/>
      <c r="I14" s="1121"/>
    </row>
    <row r="15" spans="1:9" s="1124" customFormat="1">
      <c r="A15" s="1122"/>
      <c r="B15" s="1125"/>
      <c r="C15" s="1185"/>
      <c r="D15" s="1126"/>
      <c r="E15" s="1156"/>
      <c r="F15" s="1120"/>
      <c r="G15" s="1120"/>
      <c r="H15" s="1121"/>
      <c r="I15" s="1121"/>
    </row>
    <row r="16" spans="1:9" s="1124" customFormat="1" ht="38.25">
      <c r="A16" s="1122">
        <v>1.4</v>
      </c>
      <c r="B16" s="1125"/>
      <c r="C16" s="1185" t="s">
        <v>1537</v>
      </c>
      <c r="D16" s="1126"/>
      <c r="E16" s="1156"/>
      <c r="F16" s="1120"/>
      <c r="G16" s="1120"/>
      <c r="H16" s="1121"/>
      <c r="I16" s="1121"/>
    </row>
    <row r="17" spans="1:9" s="1124" customFormat="1">
      <c r="A17" s="1122"/>
      <c r="B17" s="1125"/>
      <c r="C17" s="1185" t="s">
        <v>1538</v>
      </c>
      <c r="D17" s="1144">
        <v>1273.3323226800003</v>
      </c>
      <c r="E17" s="1156" t="s">
        <v>25</v>
      </c>
      <c r="F17" s="1120"/>
      <c r="G17" s="1120"/>
      <c r="H17" s="1121"/>
      <c r="I17" s="1121"/>
    </row>
    <row r="18" spans="1:9" s="1124" customFormat="1">
      <c r="A18" s="1122"/>
      <c r="B18" s="1125"/>
      <c r="C18" s="1185"/>
      <c r="D18" s="1126"/>
      <c r="E18" s="1156"/>
      <c r="F18" s="1120"/>
      <c r="G18" s="1120"/>
      <c r="H18" s="1121"/>
      <c r="I18" s="1121"/>
    </row>
    <row r="19" spans="1:9" s="1124" customFormat="1" ht="42.75" customHeight="1">
      <c r="A19" s="1122">
        <v>1.5</v>
      </c>
      <c r="B19" s="1123" t="s">
        <v>1490</v>
      </c>
      <c r="C19" s="1185" t="s">
        <v>1491</v>
      </c>
      <c r="D19" s="1144">
        <v>491.22275081000004</v>
      </c>
      <c r="E19" s="1156" t="s">
        <v>25</v>
      </c>
      <c r="F19" s="1120"/>
      <c r="G19" s="1120"/>
      <c r="H19" s="1121"/>
      <c r="I19" s="1121"/>
    </row>
    <row r="20" spans="1:9" s="1124" customFormat="1">
      <c r="A20" s="1122"/>
      <c r="B20" s="1123"/>
      <c r="C20" s="1185"/>
      <c r="D20" s="1126"/>
      <c r="E20" s="1156"/>
      <c r="F20" s="1120"/>
      <c r="G20" s="1120"/>
      <c r="H20" s="1121"/>
      <c r="I20" s="1121"/>
    </row>
    <row r="21" spans="1:9" s="1124" customFormat="1" ht="29.25" customHeight="1">
      <c r="A21" s="1122">
        <v>1.6</v>
      </c>
      <c r="B21" s="1125"/>
      <c r="C21" s="1186" t="s">
        <v>1805</v>
      </c>
      <c r="D21" s="1126"/>
      <c r="E21" s="1156"/>
      <c r="F21" s="1120"/>
      <c r="G21" s="1120"/>
      <c r="H21" s="1121"/>
      <c r="I21" s="1121"/>
    </row>
    <row r="22" spans="1:9" s="1124" customFormat="1" ht="33" customHeight="1">
      <c r="A22" s="1122"/>
      <c r="B22" s="1125"/>
      <c r="C22" s="1185" t="s">
        <v>1806</v>
      </c>
      <c r="D22" s="1144">
        <v>99.415000000000006</v>
      </c>
      <c r="E22" s="1156" t="s">
        <v>1807</v>
      </c>
      <c r="F22" s="1120"/>
      <c r="G22" s="1120"/>
      <c r="H22" s="1121"/>
      <c r="I22" s="1121"/>
    </row>
    <row r="23" spans="1:9" s="1124" customFormat="1" ht="53.25" customHeight="1">
      <c r="A23" s="1122"/>
      <c r="B23" s="1125"/>
      <c r="C23" s="1185" t="s">
        <v>1512</v>
      </c>
      <c r="D23" s="1126"/>
      <c r="E23" s="1156"/>
      <c r="F23" s="1120"/>
      <c r="G23" s="1120"/>
      <c r="H23" s="1121"/>
      <c r="I23" s="1121"/>
    </row>
    <row r="24" spans="1:9" s="1124" customFormat="1" ht="81" customHeight="1">
      <c r="A24" s="1122"/>
      <c r="B24" s="1125"/>
      <c r="C24" s="1185" t="s">
        <v>1804</v>
      </c>
      <c r="D24" s="1126"/>
      <c r="E24" s="1156"/>
      <c r="F24" s="1120"/>
      <c r="G24" s="1120"/>
      <c r="H24" s="1121"/>
      <c r="I24" s="1121"/>
    </row>
    <row r="25" spans="1:9" s="1124" customFormat="1" ht="25.5">
      <c r="A25" s="1122"/>
      <c r="B25" s="1125"/>
      <c r="C25" s="1185" t="s">
        <v>1513</v>
      </c>
      <c r="D25" s="1126">
        <v>102.05</v>
      </c>
      <c r="E25" s="1156" t="s">
        <v>736</v>
      </c>
      <c r="F25" s="1120"/>
      <c r="G25" s="1120"/>
      <c r="H25" s="1121"/>
      <c r="I25" s="1121"/>
    </row>
    <row r="26" spans="1:9" s="1124" customFormat="1" ht="56.25" customHeight="1">
      <c r="A26" s="1122"/>
      <c r="B26" s="1125"/>
      <c r="C26" s="1185" t="s">
        <v>1808</v>
      </c>
      <c r="D26" s="1126"/>
      <c r="E26" s="1156"/>
      <c r="F26" s="1120"/>
      <c r="G26" s="1120"/>
      <c r="H26" s="1121"/>
      <c r="I26" s="1121"/>
    </row>
    <row r="27" spans="1:9" s="1124" customFormat="1" ht="29.25" customHeight="1">
      <c r="A27" s="1122"/>
      <c r="B27" s="1125"/>
      <c r="C27" s="1185" t="s">
        <v>1513</v>
      </c>
      <c r="D27" s="1126">
        <v>102.05</v>
      </c>
      <c r="E27" s="1156" t="s">
        <v>736</v>
      </c>
      <c r="F27" s="1120"/>
      <c r="G27" s="1120"/>
      <c r="H27" s="1121"/>
      <c r="I27" s="1121"/>
    </row>
    <row r="28" spans="1:9" s="1124" customFormat="1" ht="83.25" customHeight="1">
      <c r="A28" s="1122"/>
      <c r="B28" s="1125"/>
      <c r="C28" s="1185" t="s">
        <v>1809</v>
      </c>
      <c r="D28" s="1126"/>
      <c r="E28" s="1156"/>
      <c r="F28" s="1120"/>
      <c r="G28" s="1120"/>
      <c r="H28" s="1121"/>
      <c r="I28" s="1121"/>
    </row>
    <row r="29" spans="1:9" s="1124" customFormat="1" ht="30" customHeight="1">
      <c r="A29" s="1122"/>
      <c r="B29" s="1125"/>
      <c r="C29" s="1185" t="s">
        <v>1810</v>
      </c>
      <c r="D29" s="1126">
        <v>580.02</v>
      </c>
      <c r="E29" s="1156" t="s">
        <v>32</v>
      </c>
      <c r="F29" s="1120"/>
      <c r="G29" s="1120"/>
      <c r="H29" s="1121"/>
      <c r="I29" s="1121"/>
    </row>
    <row r="30" spans="1:9" s="1124" customFormat="1" ht="84.75" customHeight="1">
      <c r="A30" s="1122"/>
      <c r="B30" s="1125"/>
      <c r="C30" s="1185" t="s">
        <v>1811</v>
      </c>
      <c r="D30" s="1126"/>
      <c r="E30" s="1156"/>
      <c r="F30" s="1120"/>
      <c r="G30" s="1120"/>
      <c r="H30" s="1121"/>
      <c r="I30" s="1121"/>
    </row>
    <row r="31" spans="1:9" s="1124" customFormat="1" ht="25.5">
      <c r="A31" s="1122"/>
      <c r="B31" s="1125"/>
      <c r="C31" s="1185" t="s">
        <v>1812</v>
      </c>
      <c r="D31" s="1126">
        <v>102.05</v>
      </c>
      <c r="E31" s="1156" t="s">
        <v>736</v>
      </c>
      <c r="F31" s="1120"/>
      <c r="G31" s="1120"/>
      <c r="H31" s="1121"/>
      <c r="I31" s="1121"/>
    </row>
    <row r="32" spans="1:9" s="1124" customFormat="1" ht="82.5" customHeight="1">
      <c r="A32" s="1122"/>
      <c r="B32" s="1125"/>
      <c r="C32" s="1185" t="s">
        <v>1813</v>
      </c>
      <c r="D32" s="1126">
        <v>1149.5999999999999</v>
      </c>
      <c r="E32" s="1156" t="s">
        <v>736</v>
      </c>
      <c r="F32" s="1120"/>
      <c r="G32" s="1120"/>
      <c r="H32" s="1121"/>
      <c r="I32" s="1121"/>
    </row>
    <row r="33" spans="1:9" s="1124" customFormat="1" ht="15">
      <c r="A33" s="1122"/>
      <c r="B33" s="1125"/>
      <c r="C33" s="1187" t="s">
        <v>1539</v>
      </c>
      <c r="D33" s="1126"/>
      <c r="E33" s="1156"/>
      <c r="F33" s="1120"/>
      <c r="G33" s="1120"/>
      <c r="H33" s="1138"/>
      <c r="I33" s="1138"/>
    </row>
    <row r="34" spans="1:9" s="1124" customFormat="1">
      <c r="A34" s="1126"/>
      <c r="B34" s="1125"/>
      <c r="C34" s="1185"/>
      <c r="D34" s="1126"/>
      <c r="E34" s="1125"/>
      <c r="F34" s="855"/>
      <c r="G34" s="855"/>
      <c r="H34" s="1120"/>
      <c r="I34" s="1120"/>
    </row>
    <row r="35" spans="1:9" ht="15">
      <c r="A35" s="1129">
        <v>2</v>
      </c>
      <c r="B35" s="861"/>
      <c r="C35" s="1188" t="s">
        <v>1540</v>
      </c>
      <c r="D35" s="910"/>
      <c r="E35" s="1120"/>
      <c r="F35" s="1120"/>
      <c r="G35" s="1120"/>
      <c r="H35" s="886"/>
      <c r="I35" s="886"/>
    </row>
    <row r="36" spans="1:9" s="1124" customFormat="1" ht="55.5" customHeight="1">
      <c r="A36" s="1122">
        <v>2.1</v>
      </c>
      <c r="B36" s="1123" t="s">
        <v>1492</v>
      </c>
      <c r="C36" s="1185" t="s">
        <v>1493</v>
      </c>
      <c r="D36" s="1126"/>
      <c r="E36" s="1125"/>
      <c r="F36" s="855"/>
      <c r="G36" s="855"/>
      <c r="H36" s="886"/>
      <c r="I36" s="886"/>
    </row>
    <row r="37" spans="1:9" s="1124" customFormat="1" ht="45">
      <c r="A37" s="1122" t="s">
        <v>1796</v>
      </c>
      <c r="B37" s="1125"/>
      <c r="C37" s="1189" t="s">
        <v>1778</v>
      </c>
      <c r="D37" s="1144">
        <v>149.76992200499998</v>
      </c>
      <c r="E37" s="1156" t="s">
        <v>25</v>
      </c>
      <c r="F37" s="1120"/>
      <c r="G37" s="1120"/>
      <c r="H37" s="1121"/>
      <c r="I37" s="1121"/>
    </row>
    <row r="38" spans="1:9" ht="15">
      <c r="A38" s="910"/>
      <c r="B38" s="861"/>
      <c r="C38" s="1190"/>
      <c r="D38" s="910"/>
      <c r="E38" s="1120"/>
      <c r="F38" s="1120"/>
      <c r="G38" s="1120"/>
      <c r="H38" s="1120"/>
      <c r="I38" s="1120"/>
    </row>
    <row r="39" spans="1:9" ht="125.25" customHeight="1">
      <c r="A39" s="910">
        <v>2.2000000000000002</v>
      </c>
      <c r="B39" s="861"/>
      <c r="C39" s="1185" t="s">
        <v>1541</v>
      </c>
      <c r="D39" s="910"/>
      <c r="E39" s="1120"/>
      <c r="F39" s="1120"/>
      <c r="G39" s="1120"/>
      <c r="H39" s="1120"/>
      <c r="I39" s="1120"/>
    </row>
    <row r="40" spans="1:9" ht="30.75" customHeight="1">
      <c r="A40" s="910"/>
      <c r="B40" s="861"/>
      <c r="C40" s="1185" t="s">
        <v>1542</v>
      </c>
      <c r="D40" s="925">
        <v>10.853964000000001</v>
      </c>
      <c r="E40" s="1120" t="s">
        <v>25</v>
      </c>
      <c r="F40" s="1120"/>
      <c r="G40" s="1120"/>
      <c r="H40" s="1121"/>
      <c r="I40" s="1121"/>
    </row>
    <row r="41" spans="1:9">
      <c r="A41" s="910"/>
      <c r="B41" s="861"/>
      <c r="C41" s="1185"/>
      <c r="D41" s="910"/>
      <c r="E41" s="1120"/>
      <c r="F41" s="1120"/>
      <c r="G41" s="1120"/>
      <c r="H41" s="1121"/>
      <c r="I41" s="1121"/>
    </row>
    <row r="42" spans="1:9" ht="55.5" customHeight="1">
      <c r="A42" s="910">
        <v>2.2999999999999998</v>
      </c>
      <c r="B42" s="861"/>
      <c r="C42" s="1185" t="s">
        <v>1501</v>
      </c>
      <c r="D42" s="925">
        <v>87.075999999999993</v>
      </c>
      <c r="E42" s="1156" t="s">
        <v>32</v>
      </c>
      <c r="F42" s="1120"/>
      <c r="G42" s="1120"/>
      <c r="H42" s="1121"/>
      <c r="I42" s="1121"/>
    </row>
    <row r="43" spans="1:9">
      <c r="A43" s="910"/>
      <c r="B43" s="861"/>
      <c r="C43" s="1185"/>
      <c r="D43" s="910"/>
      <c r="E43" s="1120"/>
      <c r="F43" s="1120"/>
      <c r="G43" s="1120"/>
      <c r="H43" s="1121"/>
      <c r="I43" s="1121"/>
    </row>
    <row r="44" spans="1:9" s="1124" customFormat="1" ht="96" customHeight="1">
      <c r="A44" s="1122">
        <v>2.4</v>
      </c>
      <c r="B44" s="1123" t="s">
        <v>1494</v>
      </c>
      <c r="C44" s="1185" t="s">
        <v>1500</v>
      </c>
      <c r="D44" s="1144">
        <v>87.075999999999993</v>
      </c>
      <c r="E44" s="1156" t="s">
        <v>32</v>
      </c>
      <c r="F44" s="1120"/>
      <c r="G44" s="1120"/>
      <c r="H44" s="1121"/>
      <c r="I44" s="1121"/>
    </row>
    <row r="45" spans="1:9" s="1124" customFormat="1">
      <c r="A45" s="1122"/>
      <c r="B45" s="1123"/>
      <c r="C45" s="1185"/>
      <c r="D45" s="1126"/>
      <c r="E45" s="1156"/>
      <c r="F45" s="1120"/>
      <c r="G45" s="1120"/>
      <c r="H45" s="1121"/>
      <c r="I45" s="1121"/>
    </row>
    <row r="46" spans="1:9" s="1124" customFormat="1" ht="15">
      <c r="A46" s="1122"/>
      <c r="B46" s="1123"/>
      <c r="C46" s="1187" t="s">
        <v>1539</v>
      </c>
      <c r="D46" s="1126"/>
      <c r="E46" s="1156"/>
      <c r="F46" s="1120"/>
      <c r="G46" s="1120"/>
      <c r="H46" s="1138"/>
      <c r="I46" s="1138"/>
    </row>
    <row r="47" spans="1:9" s="1124" customFormat="1" ht="15">
      <c r="A47" s="1122"/>
      <c r="B47" s="1123"/>
      <c r="C47" s="1187"/>
      <c r="D47" s="1126"/>
      <c r="E47" s="1156"/>
      <c r="F47" s="1120"/>
      <c r="G47" s="1120"/>
      <c r="H47" s="1120"/>
      <c r="I47" s="1120"/>
    </row>
    <row r="48" spans="1:9" s="1124" customFormat="1" ht="15">
      <c r="A48" s="1129">
        <v>3</v>
      </c>
      <c r="B48" s="861"/>
      <c r="C48" s="1188" t="s">
        <v>1543</v>
      </c>
      <c r="D48" s="1126"/>
      <c r="E48" s="1120"/>
      <c r="F48" s="1120"/>
      <c r="G48" s="1120"/>
      <c r="H48" s="1120"/>
      <c r="I48" s="1120"/>
    </row>
    <row r="49" spans="1:9" s="1124" customFormat="1" ht="15">
      <c r="A49" s="1129"/>
      <c r="B49" s="861"/>
      <c r="C49" s="1188"/>
      <c r="D49" s="1126"/>
      <c r="E49" s="1120"/>
      <c r="F49" s="1120"/>
      <c r="G49" s="1120"/>
      <c r="H49" s="1120"/>
      <c r="I49" s="1120"/>
    </row>
    <row r="50" spans="1:9" s="1124" customFormat="1" ht="110.25" customHeight="1">
      <c r="A50" s="865">
        <v>3.1</v>
      </c>
      <c r="B50" s="861"/>
      <c r="C50" s="1191" t="s">
        <v>1544</v>
      </c>
      <c r="D50" s="1144">
        <v>17.819793749999999</v>
      </c>
      <c r="E50" s="1120" t="s">
        <v>25</v>
      </c>
      <c r="F50" s="1120"/>
      <c r="G50" s="1120"/>
      <c r="H50" s="1121"/>
      <c r="I50" s="1121"/>
    </row>
    <row r="51" spans="1:9" s="1124" customFormat="1" ht="14.25">
      <c r="A51" s="865"/>
      <c r="B51" s="861"/>
      <c r="C51" s="1192"/>
      <c r="D51" s="1126"/>
      <c r="E51" s="1120"/>
      <c r="F51" s="1120"/>
      <c r="G51" s="1120"/>
      <c r="H51" s="1121"/>
      <c r="I51" s="1121"/>
    </row>
    <row r="52" spans="1:9" s="1124" customFormat="1" ht="31.5" customHeight="1">
      <c r="A52" s="1122">
        <v>3.2</v>
      </c>
      <c r="B52" s="1125"/>
      <c r="C52" s="1185" t="s">
        <v>1498</v>
      </c>
      <c r="D52" s="1126"/>
      <c r="E52" s="1156"/>
      <c r="F52" s="1120"/>
      <c r="G52" s="1120"/>
      <c r="H52" s="1120"/>
      <c r="I52" s="1120"/>
    </row>
    <row r="53" spans="1:9" s="1124" customFormat="1">
      <c r="A53" s="1122"/>
      <c r="B53" s="1125"/>
      <c r="C53" s="1185"/>
      <c r="D53" s="1126"/>
      <c r="E53" s="1156"/>
      <c r="F53" s="1120"/>
      <c r="G53" s="1120"/>
      <c r="H53" s="1120"/>
      <c r="I53" s="1120"/>
    </row>
    <row r="54" spans="1:9" s="1124" customFormat="1">
      <c r="A54" s="1122" t="s">
        <v>1546</v>
      </c>
      <c r="B54" s="1125"/>
      <c r="C54" s="1185" t="s">
        <v>1499</v>
      </c>
      <c r="D54" s="1144">
        <v>4417.13976</v>
      </c>
      <c r="E54" s="1156" t="s">
        <v>32</v>
      </c>
      <c r="F54" s="1120"/>
      <c r="G54" s="1120"/>
      <c r="H54" s="1121"/>
      <c r="I54" s="1121"/>
    </row>
    <row r="55" spans="1:9" s="1124" customFormat="1">
      <c r="A55" s="1122"/>
      <c r="B55" s="1125"/>
      <c r="C55" s="1185"/>
      <c r="D55" s="1126"/>
      <c r="E55" s="1156"/>
      <c r="F55" s="1120"/>
      <c r="G55" s="1120"/>
      <c r="H55" s="1121"/>
      <c r="I55" s="1121"/>
    </row>
    <row r="56" spans="1:9" s="1124" customFormat="1" ht="38.25">
      <c r="A56" s="1122" t="s">
        <v>1547</v>
      </c>
      <c r="B56" s="1125"/>
      <c r="C56" s="1185" t="s">
        <v>1548</v>
      </c>
      <c r="D56" s="1144">
        <v>1089.7943900800001</v>
      </c>
      <c r="E56" s="1156" t="s">
        <v>32</v>
      </c>
      <c r="F56" s="1120"/>
      <c r="G56" s="1120"/>
      <c r="H56" s="1121"/>
      <c r="I56" s="1121"/>
    </row>
    <row r="57" spans="1:9" s="1124" customFormat="1">
      <c r="A57" s="1122"/>
      <c r="B57" s="1125"/>
      <c r="C57" s="1185"/>
      <c r="D57" s="1126"/>
      <c r="E57" s="1156"/>
      <c r="F57" s="1120"/>
      <c r="G57" s="1120"/>
      <c r="H57" s="1121"/>
      <c r="I57" s="1121"/>
    </row>
    <row r="58" spans="1:9" s="1124" customFormat="1" ht="25.5">
      <c r="A58" s="1122" t="s">
        <v>1550</v>
      </c>
      <c r="B58" s="1125"/>
      <c r="C58" s="1185" t="s">
        <v>1502</v>
      </c>
      <c r="D58" s="1144">
        <v>3411.6895999999997</v>
      </c>
      <c r="E58" s="1120" t="s">
        <v>32</v>
      </c>
      <c r="F58" s="1120"/>
      <c r="G58" s="1120"/>
      <c r="H58" s="1121"/>
      <c r="I58" s="1121"/>
    </row>
    <row r="59" spans="1:9" s="1124" customFormat="1">
      <c r="A59" s="1122"/>
      <c r="B59" s="1125"/>
      <c r="C59" s="1185"/>
      <c r="D59" s="1126"/>
      <c r="E59" s="1156"/>
      <c r="F59" s="1120"/>
      <c r="G59" s="1120"/>
      <c r="H59" s="1121"/>
      <c r="I59" s="1121"/>
    </row>
    <row r="60" spans="1:9" s="1124" customFormat="1" ht="25.5">
      <c r="A60" s="1122" t="s">
        <v>1552</v>
      </c>
      <c r="B60" s="1125"/>
      <c r="C60" s="1185" t="s">
        <v>1503</v>
      </c>
      <c r="D60" s="1144">
        <v>768.75612000000012</v>
      </c>
      <c r="E60" s="1120" t="s">
        <v>32</v>
      </c>
      <c r="F60" s="1120"/>
      <c r="G60" s="1120"/>
      <c r="H60" s="1121"/>
      <c r="I60" s="1121"/>
    </row>
    <row r="61" spans="1:9" s="1124" customFormat="1" ht="14.25">
      <c r="A61" s="865"/>
      <c r="B61" s="861"/>
      <c r="C61" s="1192"/>
      <c r="D61" s="1126"/>
      <c r="E61" s="1120"/>
      <c r="F61" s="1120"/>
      <c r="G61" s="1120"/>
      <c r="H61" s="1121"/>
      <c r="I61" s="1121"/>
    </row>
    <row r="62" spans="1:9" s="1124" customFormat="1" ht="25.5">
      <c r="A62" s="865" t="s">
        <v>1553</v>
      </c>
      <c r="B62" s="861"/>
      <c r="C62" s="1185" t="s">
        <v>1504</v>
      </c>
      <c r="D62" s="1144">
        <v>2058.8150000000001</v>
      </c>
      <c r="E62" s="1120" t="s">
        <v>32</v>
      </c>
      <c r="F62" s="1120"/>
      <c r="G62" s="1120"/>
      <c r="H62" s="1121"/>
      <c r="I62" s="1121"/>
    </row>
    <row r="63" spans="1:9" s="1124" customFormat="1">
      <c r="A63" s="865"/>
      <c r="B63" s="861"/>
      <c r="C63" s="1185"/>
      <c r="D63" s="1126"/>
      <c r="E63" s="1120"/>
      <c r="F63" s="1120"/>
      <c r="G63" s="1120"/>
      <c r="H63" s="1121"/>
      <c r="I63" s="1121"/>
    </row>
    <row r="64" spans="1:9" s="1124" customFormat="1" ht="25.5">
      <c r="A64" s="865" t="s">
        <v>1554</v>
      </c>
      <c r="B64" s="861"/>
      <c r="C64" s="1185" t="s">
        <v>1505</v>
      </c>
      <c r="D64" s="1144">
        <v>2800.6280859017775</v>
      </c>
      <c r="E64" s="1120" t="s">
        <v>32</v>
      </c>
      <c r="F64" s="1120"/>
      <c r="G64" s="1120"/>
      <c r="H64" s="1121"/>
      <c r="I64" s="1121"/>
    </row>
    <row r="65" spans="1:9" s="1124" customFormat="1" ht="15">
      <c r="A65" s="1129"/>
      <c r="B65" s="861"/>
      <c r="C65" s="1188"/>
      <c r="D65" s="1126"/>
      <c r="E65" s="1120"/>
      <c r="F65" s="1120"/>
      <c r="G65" s="1120"/>
      <c r="H65" s="1120"/>
      <c r="I65" s="1120"/>
    </row>
    <row r="66" spans="1:9" s="1124" customFormat="1" ht="38.25">
      <c r="A66" s="865" t="s">
        <v>1556</v>
      </c>
      <c r="B66" s="861"/>
      <c r="C66" s="1185" t="s">
        <v>1555</v>
      </c>
      <c r="D66" s="1126">
        <v>738.43999999999994</v>
      </c>
      <c r="E66" s="1120" t="s">
        <v>32</v>
      </c>
      <c r="F66" s="1120"/>
      <c r="G66" s="1120"/>
      <c r="H66" s="1121"/>
      <c r="I66" s="1121"/>
    </row>
    <row r="67" spans="1:9" s="1124" customFormat="1">
      <c r="A67" s="865"/>
      <c r="B67" s="861"/>
      <c r="C67" s="1185"/>
      <c r="D67" s="1126"/>
      <c r="E67" s="1120"/>
      <c r="F67" s="1120"/>
      <c r="G67" s="1120"/>
      <c r="H67" s="1121"/>
      <c r="I67" s="1121"/>
    </row>
    <row r="68" spans="1:9" s="1124" customFormat="1" ht="36" customHeight="1">
      <c r="A68" s="865" t="s">
        <v>1558</v>
      </c>
      <c r="B68" s="861"/>
      <c r="C68" s="1185" t="s">
        <v>1557</v>
      </c>
      <c r="D68" s="1144">
        <v>24.651</v>
      </c>
      <c r="E68" s="1120" t="s">
        <v>32</v>
      </c>
      <c r="F68" s="1120"/>
      <c r="G68" s="1120"/>
      <c r="H68" s="1121"/>
      <c r="I68" s="1121"/>
    </row>
    <row r="69" spans="1:9" s="1124" customFormat="1">
      <c r="A69" s="1129"/>
      <c r="B69" s="861"/>
      <c r="C69" s="1185"/>
      <c r="D69" s="1126"/>
      <c r="E69" s="1120"/>
      <c r="F69" s="1120"/>
      <c r="G69" s="1120"/>
      <c r="H69" s="1120"/>
      <c r="I69" s="1120"/>
    </row>
    <row r="70" spans="1:9" s="1124" customFormat="1" ht="51">
      <c r="A70" s="865">
        <v>3.4</v>
      </c>
      <c r="B70" s="854"/>
      <c r="C70" s="1185" t="s">
        <v>1496</v>
      </c>
      <c r="D70" s="1126"/>
      <c r="E70" s="1120"/>
      <c r="F70" s="1120"/>
      <c r="G70" s="1120"/>
      <c r="H70" s="1121"/>
      <c r="I70" s="1121"/>
    </row>
    <row r="71" spans="1:9" s="1124" customFormat="1" ht="25.5">
      <c r="A71" s="865" t="s">
        <v>1559</v>
      </c>
      <c r="B71" s="854"/>
      <c r="C71" s="1185" t="s">
        <v>1514</v>
      </c>
      <c r="D71" s="1126">
        <v>110460.36429053999</v>
      </c>
      <c r="E71" s="1156" t="s">
        <v>1497</v>
      </c>
      <c r="F71" s="1120"/>
      <c r="G71" s="1120"/>
      <c r="H71" s="1121"/>
      <c r="I71" s="1121"/>
    </row>
    <row r="72" spans="1:9" s="1124" customFormat="1">
      <c r="A72" s="865"/>
      <c r="B72" s="854"/>
      <c r="C72" s="1185"/>
      <c r="D72" s="1126"/>
      <c r="E72" s="1120"/>
      <c r="F72" s="1120"/>
      <c r="G72" s="1120"/>
      <c r="H72" s="1121"/>
      <c r="I72" s="1121"/>
    </row>
    <row r="73" spans="1:9" s="1124" customFormat="1" ht="51">
      <c r="A73" s="865">
        <v>3.5</v>
      </c>
      <c r="B73" s="854"/>
      <c r="C73" s="1185" t="s">
        <v>1560</v>
      </c>
      <c r="D73" s="1126"/>
      <c r="E73" s="1120"/>
      <c r="F73" s="1120"/>
      <c r="G73" s="1120"/>
      <c r="H73" s="1120"/>
      <c r="I73" s="1120"/>
    </row>
    <row r="74" spans="1:9" s="1124" customFormat="1" ht="25.5">
      <c r="A74" s="865" t="s">
        <v>1561</v>
      </c>
      <c r="B74" s="854"/>
      <c r="C74" s="1185" t="s">
        <v>1514</v>
      </c>
      <c r="D74" s="1126">
        <v>211428.06856437746</v>
      </c>
      <c r="E74" s="1156" t="s">
        <v>1497</v>
      </c>
      <c r="F74" s="1120"/>
      <c r="G74" s="1120"/>
      <c r="H74" s="1121"/>
      <c r="I74" s="1121"/>
    </row>
    <row r="75" spans="1:9" s="1124" customFormat="1">
      <c r="A75" s="865"/>
      <c r="B75" s="854"/>
      <c r="C75" s="1185"/>
      <c r="D75" s="1126"/>
      <c r="E75" s="1156"/>
      <c r="F75" s="1120"/>
      <c r="G75" s="1120"/>
      <c r="H75" s="1121"/>
      <c r="I75" s="1121"/>
    </row>
    <row r="76" spans="1:9" s="1124" customFormat="1" ht="277.5" customHeight="1">
      <c r="A76" s="865">
        <v>3.7</v>
      </c>
      <c r="B76" s="854"/>
      <c r="C76" s="1185" t="s">
        <v>1562</v>
      </c>
      <c r="D76" s="1126"/>
      <c r="E76" s="1156"/>
      <c r="F76" s="1120"/>
      <c r="G76" s="1120"/>
      <c r="H76" s="1121"/>
      <c r="I76" s="1121"/>
    </row>
    <row r="77" spans="1:9" s="1124" customFormat="1">
      <c r="A77" s="865" t="s">
        <v>1566</v>
      </c>
      <c r="B77" s="854"/>
      <c r="C77" s="1185" t="s">
        <v>1563</v>
      </c>
      <c r="D77" s="1144">
        <v>725.48443260699992</v>
      </c>
      <c r="E77" s="1156" t="s">
        <v>25</v>
      </c>
      <c r="F77" s="1120"/>
      <c r="G77" s="1120"/>
      <c r="H77" s="1121"/>
      <c r="I77" s="1121"/>
    </row>
    <row r="78" spans="1:9" s="1124" customFormat="1">
      <c r="A78" s="865" t="s">
        <v>1567</v>
      </c>
      <c r="B78" s="854"/>
      <c r="C78" s="1185" t="s">
        <v>1564</v>
      </c>
      <c r="D78" s="1144">
        <v>1287.8043505912501</v>
      </c>
      <c r="E78" s="1156" t="s">
        <v>25</v>
      </c>
      <c r="F78" s="1120"/>
      <c r="G78" s="1120"/>
      <c r="H78" s="1121"/>
      <c r="I78" s="1121"/>
    </row>
    <row r="79" spans="1:9" s="1124" customFormat="1" ht="220.5" customHeight="1">
      <c r="A79" s="865">
        <v>3.8</v>
      </c>
      <c r="B79" s="854"/>
      <c r="C79" s="1185" t="s">
        <v>1773</v>
      </c>
      <c r="D79" s="1126"/>
      <c r="E79" s="1156"/>
      <c r="F79" s="1120"/>
      <c r="G79" s="1120"/>
      <c r="H79" s="1121"/>
      <c r="I79" s="1121"/>
    </row>
    <row r="80" spans="1:9" s="1124" customFormat="1">
      <c r="A80" s="865" t="s">
        <v>1774</v>
      </c>
      <c r="B80" s="854"/>
      <c r="C80" s="1185" t="s">
        <v>1563</v>
      </c>
      <c r="D80" s="1144">
        <v>126.584986</v>
      </c>
      <c r="E80" s="1156" t="s">
        <v>25</v>
      </c>
      <c r="F80" s="1120"/>
      <c r="G80" s="1120"/>
      <c r="H80" s="1121"/>
      <c r="I80" s="1121"/>
    </row>
    <row r="81" spans="1:10" s="1124" customFormat="1">
      <c r="A81" s="865" t="s">
        <v>1775</v>
      </c>
      <c r="B81" s="854"/>
      <c r="C81" s="1185" t="s">
        <v>1564</v>
      </c>
      <c r="D81" s="1144">
        <v>258.56420700000001</v>
      </c>
      <c r="E81" s="1156" t="s">
        <v>25</v>
      </c>
      <c r="F81" s="1120"/>
      <c r="G81" s="1120"/>
      <c r="H81" s="1121"/>
      <c r="I81" s="1121"/>
    </row>
    <row r="82" spans="1:10" s="1124" customFormat="1" ht="25.5">
      <c r="A82" s="865">
        <v>3.9</v>
      </c>
      <c r="B82" s="854"/>
      <c r="C82" s="1185" t="s">
        <v>1772</v>
      </c>
      <c r="D82" s="1126"/>
      <c r="E82" s="1156"/>
      <c r="F82" s="1120"/>
      <c r="G82" s="1120"/>
      <c r="H82" s="1121"/>
      <c r="I82" s="1121"/>
    </row>
    <row r="83" spans="1:10" s="1124" customFormat="1" ht="42" customHeight="1">
      <c r="A83" s="865" t="s">
        <v>1776</v>
      </c>
      <c r="B83" s="854"/>
      <c r="C83" s="1185" t="s">
        <v>1791</v>
      </c>
      <c r="D83" s="1144">
        <v>385.14919300000003</v>
      </c>
      <c r="E83" s="1156" t="s">
        <v>25</v>
      </c>
      <c r="F83" s="1120"/>
      <c r="G83" s="1120"/>
      <c r="H83" s="1121"/>
      <c r="I83" s="1121"/>
    </row>
    <row r="84" spans="1:10" s="1124" customFormat="1">
      <c r="A84" s="865"/>
      <c r="B84" s="854"/>
      <c r="C84" s="865"/>
      <c r="D84" s="1126"/>
      <c r="E84" s="865"/>
      <c r="F84" s="860"/>
      <c r="G84" s="860"/>
      <c r="H84" s="860"/>
      <c r="I84" s="860"/>
    </row>
    <row r="85" spans="1:10" s="1124" customFormat="1" ht="15">
      <c r="A85" s="865"/>
      <c r="B85" s="854"/>
      <c r="C85" s="1187" t="s">
        <v>1539</v>
      </c>
      <c r="D85" s="1145"/>
      <c r="E85" s="1156"/>
      <c r="F85" s="1120"/>
      <c r="G85" s="1120"/>
      <c r="H85" s="1138"/>
      <c r="I85" s="1138"/>
      <c r="J85" s="1130"/>
    </row>
    <row r="86" spans="1:10" s="1124" customFormat="1" ht="15">
      <c r="A86" s="865"/>
      <c r="B86" s="854"/>
      <c r="C86" s="1187"/>
      <c r="D86" s="1145"/>
      <c r="E86" s="1156"/>
      <c r="F86" s="1120"/>
      <c r="G86" s="1120"/>
      <c r="H86" s="860"/>
      <c r="I86" s="860"/>
    </row>
    <row r="87" spans="1:10" ht="15">
      <c r="A87" s="1129">
        <v>4</v>
      </c>
      <c r="B87" s="861"/>
      <c r="C87" s="1188" t="s">
        <v>1565</v>
      </c>
      <c r="D87" s="910"/>
      <c r="E87" s="1120"/>
      <c r="F87" s="1120"/>
      <c r="G87" s="1120"/>
      <c r="H87" s="886"/>
      <c r="I87" s="886"/>
    </row>
    <row r="88" spans="1:10" s="9" customFormat="1" ht="55.5" customHeight="1">
      <c r="A88" s="865">
        <v>4.0999999999999996</v>
      </c>
      <c r="B88" s="854"/>
      <c r="C88" s="1185" t="s">
        <v>1800</v>
      </c>
      <c r="D88" s="865"/>
      <c r="E88" s="1120"/>
      <c r="F88" s="1120"/>
      <c r="G88" s="1120"/>
      <c r="H88" s="855"/>
      <c r="I88" s="855"/>
    </row>
    <row r="89" spans="1:10" s="9" customFormat="1">
      <c r="A89" s="865" t="s">
        <v>1799</v>
      </c>
      <c r="B89" s="854"/>
      <c r="C89" s="1185" t="s">
        <v>1801</v>
      </c>
      <c r="D89" s="869">
        <v>162.17795000000001</v>
      </c>
      <c r="E89" s="1120" t="s">
        <v>25</v>
      </c>
      <c r="F89" s="1120"/>
      <c r="G89" s="1120"/>
      <c r="H89" s="1121"/>
      <c r="I89" s="1121"/>
    </row>
    <row r="90" spans="1:10" s="1124" customFormat="1" ht="108" customHeight="1">
      <c r="A90" s="865">
        <v>4.2</v>
      </c>
      <c r="B90" s="854"/>
      <c r="C90" s="1185" t="s">
        <v>1798</v>
      </c>
      <c r="D90" s="1145">
        <v>1293.0907585</v>
      </c>
      <c r="E90" s="1156" t="s">
        <v>25</v>
      </c>
      <c r="F90" s="1120"/>
      <c r="G90" s="1120"/>
      <c r="H90" s="1121"/>
      <c r="I90" s="1121"/>
    </row>
    <row r="91" spans="1:10" s="1124" customFormat="1">
      <c r="A91" s="865"/>
      <c r="B91" s="854"/>
      <c r="C91" s="1185"/>
      <c r="D91" s="1145"/>
      <c r="E91" s="1120"/>
      <c r="F91" s="1120"/>
      <c r="G91" s="1120"/>
      <c r="H91" s="1121"/>
      <c r="I91" s="1121"/>
    </row>
    <row r="92" spans="1:10" s="1124" customFormat="1">
      <c r="A92" s="865"/>
      <c r="B92" s="854"/>
      <c r="C92" s="1185"/>
      <c r="D92" s="1145"/>
      <c r="E92" s="1120"/>
      <c r="F92" s="1120"/>
      <c r="G92" s="1120"/>
      <c r="H92" s="1121"/>
      <c r="I92" s="1121"/>
    </row>
    <row r="93" spans="1:10" s="1124" customFormat="1" ht="15">
      <c r="A93" s="865"/>
      <c r="B93" s="854"/>
      <c r="C93" s="1187" t="s">
        <v>1539</v>
      </c>
      <c r="D93" s="1145"/>
      <c r="E93" s="1156"/>
      <c r="F93" s="1120"/>
      <c r="G93" s="1120"/>
      <c r="H93" s="1138"/>
      <c r="I93" s="1138"/>
    </row>
    <row r="94" spans="1:10" s="1124" customFormat="1">
      <c r="A94" s="865"/>
      <c r="B94" s="854"/>
      <c r="C94" s="1185"/>
      <c r="D94" s="1145"/>
      <c r="E94" s="1120"/>
      <c r="F94" s="1120"/>
      <c r="G94" s="1120"/>
      <c r="H94" s="1121"/>
      <c r="I94" s="1121"/>
    </row>
    <row r="95" spans="1:10" ht="15">
      <c r="A95" s="1129">
        <v>5</v>
      </c>
      <c r="B95" s="861"/>
      <c r="C95" s="1188" t="s">
        <v>1568</v>
      </c>
      <c r="D95" s="910"/>
      <c r="E95" s="1120"/>
      <c r="F95" s="1120"/>
      <c r="G95" s="1120"/>
      <c r="H95" s="1120"/>
      <c r="I95" s="1120"/>
    </row>
    <row r="96" spans="1:10" ht="44.25" customHeight="1">
      <c r="A96" s="865">
        <v>5.0999999999999996</v>
      </c>
      <c r="B96" s="861"/>
      <c r="C96" s="1185" t="s">
        <v>1506</v>
      </c>
      <c r="D96" s="910"/>
      <c r="E96" s="1120"/>
      <c r="F96" s="1120"/>
      <c r="G96" s="1120"/>
      <c r="H96" s="1120"/>
      <c r="I96" s="1120"/>
    </row>
    <row r="97" spans="1:9">
      <c r="A97" s="865" t="s">
        <v>1571</v>
      </c>
      <c r="B97" s="861"/>
      <c r="C97" s="1185" t="s">
        <v>1572</v>
      </c>
      <c r="D97" s="925">
        <v>11.669624999999998</v>
      </c>
      <c r="E97" s="1120" t="s">
        <v>25</v>
      </c>
      <c r="F97" s="1120"/>
      <c r="G97" s="1120"/>
      <c r="H97" s="1121"/>
      <c r="I97" s="1121"/>
    </row>
    <row r="98" spans="1:9">
      <c r="A98" s="1129"/>
      <c r="B98" s="861"/>
      <c r="C98" s="1185"/>
      <c r="D98" s="910"/>
      <c r="E98" s="1120"/>
      <c r="F98" s="1120"/>
      <c r="G98" s="1120"/>
      <c r="H98" s="1120"/>
      <c r="I98" s="1120"/>
    </row>
    <row r="99" spans="1:9" s="1124" customFormat="1" ht="100.5" customHeight="1">
      <c r="A99" s="865">
        <v>5.2</v>
      </c>
      <c r="B99" s="854"/>
      <c r="C99" s="1185" t="s">
        <v>1569</v>
      </c>
      <c r="D99" s="1145"/>
      <c r="E99" s="1120"/>
      <c r="F99" s="1120"/>
      <c r="G99" s="1120"/>
      <c r="H99" s="1120"/>
      <c r="I99" s="1120"/>
    </row>
    <row r="100" spans="1:9" s="1124" customFormat="1" ht="29.25" customHeight="1">
      <c r="A100" s="865" t="s">
        <v>1575</v>
      </c>
      <c r="B100" s="854"/>
      <c r="C100" s="1185" t="s">
        <v>1570</v>
      </c>
      <c r="D100" s="1145">
        <v>248.09400000000005</v>
      </c>
      <c r="E100" s="1120" t="s">
        <v>32</v>
      </c>
      <c r="F100" s="1120"/>
      <c r="G100" s="1120"/>
      <c r="H100" s="1121"/>
      <c r="I100" s="1121"/>
    </row>
    <row r="101" spans="1:9" s="1124" customFormat="1" ht="55.5" customHeight="1">
      <c r="A101" s="865" t="s">
        <v>1576</v>
      </c>
      <c r="B101" s="854"/>
      <c r="C101" s="1185" t="s">
        <v>1573</v>
      </c>
      <c r="D101" s="1145">
        <v>138.60000000000002</v>
      </c>
      <c r="E101" s="1120" t="s">
        <v>32</v>
      </c>
      <c r="F101" s="1120"/>
      <c r="G101" s="1120"/>
      <c r="H101" s="1121"/>
      <c r="I101" s="1121"/>
    </row>
    <row r="102" spans="1:9" s="1124" customFormat="1">
      <c r="A102" s="865"/>
      <c r="B102" s="854"/>
      <c r="C102" s="1185"/>
      <c r="D102" s="1145"/>
      <c r="E102" s="1120"/>
      <c r="F102" s="1120"/>
      <c r="G102" s="1120"/>
      <c r="H102" s="1121"/>
      <c r="I102" s="1121"/>
    </row>
    <row r="103" spans="1:9" s="1124" customFormat="1" ht="54" customHeight="1">
      <c r="A103" s="865">
        <v>5.4</v>
      </c>
      <c r="B103" s="854"/>
      <c r="C103" s="1185" t="s">
        <v>1574</v>
      </c>
      <c r="D103" s="1145"/>
      <c r="E103" s="1120"/>
      <c r="F103" s="1120"/>
      <c r="G103" s="1120"/>
      <c r="H103" s="1121"/>
      <c r="I103" s="1121"/>
    </row>
    <row r="104" spans="1:9" s="1124" customFormat="1">
      <c r="A104" s="865"/>
      <c r="B104" s="854"/>
      <c r="C104" s="1185" t="s">
        <v>1577</v>
      </c>
      <c r="D104" s="1145">
        <v>2.4</v>
      </c>
      <c r="E104" s="1120" t="s">
        <v>32</v>
      </c>
      <c r="F104" s="1120"/>
      <c r="G104" s="1120"/>
      <c r="H104" s="1121"/>
      <c r="I104" s="1121"/>
    </row>
    <row r="105" spans="1:9" s="1124" customFormat="1">
      <c r="A105" s="865"/>
      <c r="B105" s="854"/>
      <c r="C105" s="1185"/>
      <c r="D105" s="1145"/>
      <c r="E105" s="1120"/>
      <c r="F105" s="1120"/>
      <c r="G105" s="1120"/>
      <c r="H105" s="1121"/>
      <c r="I105" s="1121"/>
    </row>
    <row r="106" spans="1:9" s="1124" customFormat="1" ht="25.5">
      <c r="A106" s="865">
        <v>5.5</v>
      </c>
      <c r="B106" s="854"/>
      <c r="C106" s="1185" t="s">
        <v>1578</v>
      </c>
      <c r="D106" s="1145"/>
      <c r="E106" s="1125"/>
      <c r="F106" s="1120"/>
      <c r="G106" s="1120"/>
      <c r="H106" s="1121"/>
      <c r="I106" s="1121"/>
    </row>
    <row r="107" spans="1:9" s="1124" customFormat="1">
      <c r="A107" s="865" t="s">
        <v>1582</v>
      </c>
      <c r="B107" s="854"/>
      <c r="C107" s="1185" t="s">
        <v>1579</v>
      </c>
      <c r="D107" s="1145">
        <v>20.399999999999999</v>
      </c>
      <c r="E107" s="1120" t="s">
        <v>736</v>
      </c>
      <c r="F107" s="1120"/>
      <c r="G107" s="1120"/>
      <c r="H107" s="1121"/>
      <c r="I107" s="1121"/>
    </row>
    <row r="108" spans="1:9" s="1124" customFormat="1">
      <c r="A108" s="865"/>
      <c r="B108" s="854"/>
      <c r="C108" s="1185"/>
      <c r="D108" s="1145"/>
      <c r="E108" s="1120"/>
      <c r="F108" s="1120"/>
      <c r="G108" s="1120"/>
      <c r="H108" s="1121"/>
      <c r="I108" s="1121"/>
    </row>
    <row r="109" spans="1:9" s="1124" customFormat="1" ht="69" customHeight="1">
      <c r="A109" s="865">
        <v>5.6</v>
      </c>
      <c r="B109" s="854"/>
      <c r="C109" s="1185" t="s">
        <v>1580</v>
      </c>
      <c r="D109" s="1145"/>
      <c r="E109" s="1120"/>
      <c r="F109" s="1120"/>
      <c r="G109" s="1120"/>
      <c r="H109" s="1121"/>
      <c r="I109" s="1121"/>
    </row>
    <row r="110" spans="1:9" s="1124" customFormat="1" ht="18" customHeight="1">
      <c r="A110" s="865" t="s">
        <v>1584</v>
      </c>
      <c r="B110" s="854"/>
      <c r="C110" s="1185" t="s">
        <v>1581</v>
      </c>
      <c r="D110" s="1145">
        <v>7374.3014399999993</v>
      </c>
      <c r="E110" s="1120" t="s">
        <v>1497</v>
      </c>
      <c r="F110" s="1120"/>
      <c r="G110" s="1120"/>
      <c r="H110" s="1121"/>
      <c r="I110" s="1121"/>
    </row>
    <row r="111" spans="1:9" s="1124" customFormat="1">
      <c r="A111" s="865"/>
      <c r="B111" s="854"/>
      <c r="C111" s="1185"/>
      <c r="D111" s="1145"/>
      <c r="E111" s="1120"/>
      <c r="F111" s="1120"/>
      <c r="G111" s="1120"/>
      <c r="H111" s="1121"/>
      <c r="I111" s="1121"/>
    </row>
    <row r="112" spans="1:9" s="1124" customFormat="1" ht="38.25">
      <c r="A112" s="865">
        <v>5.7</v>
      </c>
      <c r="B112" s="854"/>
      <c r="C112" s="1185" t="s">
        <v>1597</v>
      </c>
      <c r="D112" s="1145"/>
      <c r="E112" s="1120"/>
      <c r="F112" s="1120"/>
      <c r="G112" s="1120"/>
      <c r="H112" s="1121"/>
      <c r="I112" s="1121"/>
    </row>
    <row r="113" spans="1:9" s="1124" customFormat="1">
      <c r="A113" s="865" t="s">
        <v>1588</v>
      </c>
      <c r="B113" s="854"/>
      <c r="C113" s="1185" t="s">
        <v>1598</v>
      </c>
      <c r="D113" s="1198">
        <v>940</v>
      </c>
      <c r="E113" s="1120" t="s">
        <v>64</v>
      </c>
      <c r="F113" s="1120"/>
      <c r="G113" s="1120"/>
      <c r="H113" s="1121"/>
      <c r="I113" s="1121"/>
    </row>
    <row r="114" spans="1:9" s="1124" customFormat="1">
      <c r="A114" s="865"/>
      <c r="B114" s="854"/>
      <c r="C114" s="1185"/>
      <c r="D114" s="1198"/>
      <c r="E114" s="910"/>
      <c r="F114" s="898"/>
      <c r="G114" s="898"/>
      <c r="H114" s="1121"/>
      <c r="I114" s="1121"/>
    </row>
    <row r="115" spans="1:9" s="1124" customFormat="1" ht="69.75" customHeight="1">
      <c r="A115" s="865">
        <v>5.8</v>
      </c>
      <c r="B115" s="854"/>
      <c r="C115" s="1185" t="s">
        <v>1507</v>
      </c>
      <c r="D115" s="1198"/>
      <c r="E115" s="865"/>
      <c r="F115" s="1120"/>
      <c r="G115" s="1120"/>
      <c r="H115" s="1121"/>
      <c r="I115" s="1121"/>
    </row>
    <row r="116" spans="1:9" s="1124" customFormat="1">
      <c r="A116" s="865" t="s">
        <v>1591</v>
      </c>
      <c r="B116" s="854"/>
      <c r="C116" s="1185" t="s">
        <v>1508</v>
      </c>
      <c r="D116" s="1198">
        <v>4</v>
      </c>
      <c r="E116" s="1120" t="s">
        <v>64</v>
      </c>
      <c r="F116" s="1120"/>
      <c r="G116" s="1120"/>
      <c r="H116" s="1121"/>
      <c r="I116" s="1121"/>
    </row>
    <row r="117" spans="1:9" s="1124" customFormat="1">
      <c r="A117" s="865" t="s">
        <v>1594</v>
      </c>
      <c r="B117" s="854"/>
      <c r="C117" s="1193" t="s">
        <v>1583</v>
      </c>
      <c r="D117" s="1198">
        <v>12</v>
      </c>
      <c r="E117" s="1207" t="s">
        <v>64</v>
      </c>
      <c r="F117" s="1120"/>
      <c r="G117" s="1120"/>
      <c r="H117" s="1121"/>
      <c r="I117" s="1121"/>
    </row>
    <row r="118" spans="1:9" s="1124" customFormat="1">
      <c r="A118" s="865"/>
      <c r="B118" s="854"/>
      <c r="C118" s="1185"/>
      <c r="D118" s="1198"/>
      <c r="E118" s="1120"/>
      <c r="F118" s="1120"/>
      <c r="G118" s="1120"/>
      <c r="H118" s="1121"/>
      <c r="I118" s="1121"/>
    </row>
    <row r="119" spans="1:9" s="1124" customFormat="1" ht="67.5" customHeight="1">
      <c r="A119" s="865">
        <v>5.9</v>
      </c>
      <c r="B119" s="854"/>
      <c r="C119" s="1185" t="s">
        <v>1586</v>
      </c>
      <c r="D119" s="1198"/>
      <c r="E119" s="1120"/>
      <c r="F119" s="1120"/>
      <c r="G119" s="1120"/>
      <c r="H119" s="1121"/>
      <c r="I119" s="1121"/>
    </row>
    <row r="120" spans="1:9" s="1124" customFormat="1">
      <c r="A120" s="865" t="s">
        <v>1545</v>
      </c>
      <c r="B120" s="854"/>
      <c r="C120" s="1185" t="s">
        <v>1585</v>
      </c>
      <c r="D120" s="1198">
        <v>113</v>
      </c>
      <c r="E120" s="1120" t="s">
        <v>64</v>
      </c>
      <c r="F120" s="1120"/>
      <c r="G120" s="1120"/>
      <c r="H120" s="1121"/>
      <c r="I120" s="1121"/>
    </row>
    <row r="121" spans="1:9" s="1124" customFormat="1">
      <c r="A121" s="865" t="s">
        <v>1549</v>
      </c>
      <c r="B121" s="854"/>
      <c r="C121" s="1185" t="s">
        <v>1587</v>
      </c>
      <c r="D121" s="1198">
        <v>70</v>
      </c>
      <c r="E121" s="1120" t="s">
        <v>64</v>
      </c>
      <c r="F121" s="1120"/>
      <c r="G121" s="1120"/>
      <c r="H121" s="1121"/>
      <c r="I121" s="1121"/>
    </row>
    <row r="122" spans="1:9" s="1124" customFormat="1">
      <c r="A122" s="865" t="s">
        <v>1551</v>
      </c>
      <c r="B122" s="854"/>
      <c r="C122" s="1185" t="s">
        <v>1600</v>
      </c>
      <c r="D122" s="1198">
        <v>174</v>
      </c>
      <c r="E122" s="1120" t="s">
        <v>64</v>
      </c>
      <c r="F122" s="1120"/>
      <c r="G122" s="1120"/>
      <c r="H122" s="1121"/>
      <c r="I122" s="1121"/>
    </row>
    <row r="123" spans="1:9" s="1124" customFormat="1">
      <c r="A123" s="865"/>
      <c r="B123" s="854"/>
      <c r="C123" s="1185"/>
      <c r="D123" s="1198"/>
      <c r="E123" s="1120"/>
      <c r="F123" s="1120"/>
      <c r="G123" s="1120"/>
      <c r="H123" s="1121"/>
      <c r="I123" s="1121"/>
    </row>
    <row r="124" spans="1:9" s="1124" customFormat="1" ht="69.75" customHeight="1">
      <c r="A124" s="865" t="s">
        <v>1595</v>
      </c>
      <c r="B124" s="854"/>
      <c r="C124" s="1185" t="s">
        <v>1589</v>
      </c>
      <c r="D124" s="1198"/>
      <c r="E124" s="1120"/>
      <c r="F124" s="1120"/>
      <c r="G124" s="1120"/>
      <c r="H124" s="1121"/>
      <c r="I124" s="1121"/>
    </row>
    <row r="125" spans="1:9" s="1124" customFormat="1">
      <c r="A125" s="865" t="s">
        <v>1596</v>
      </c>
      <c r="B125" s="854"/>
      <c r="C125" s="1185" t="s">
        <v>1590</v>
      </c>
      <c r="D125" s="1198">
        <v>366</v>
      </c>
      <c r="E125" s="1120" t="s">
        <v>64</v>
      </c>
      <c r="F125" s="1120"/>
      <c r="G125" s="1120"/>
      <c r="H125" s="1121"/>
      <c r="I125" s="1121"/>
    </row>
    <row r="126" spans="1:9" s="1124" customFormat="1">
      <c r="A126" s="865"/>
      <c r="B126" s="854"/>
      <c r="C126" s="1185"/>
      <c r="D126" s="1198"/>
      <c r="E126" s="1120"/>
      <c r="F126" s="1120"/>
      <c r="G126" s="1120"/>
      <c r="H126" s="1121"/>
      <c r="I126" s="1121"/>
    </row>
    <row r="127" spans="1:9" s="1124" customFormat="1" ht="68.25" customHeight="1">
      <c r="A127" s="865">
        <v>5.1100000000000003</v>
      </c>
      <c r="B127" s="854"/>
      <c r="C127" s="1185" t="s">
        <v>1592</v>
      </c>
      <c r="D127" s="1198"/>
      <c r="E127" s="1120"/>
      <c r="F127" s="1120"/>
      <c r="G127" s="1120"/>
      <c r="H127" s="1121"/>
      <c r="I127" s="1121"/>
    </row>
    <row r="128" spans="1:9" s="1124" customFormat="1">
      <c r="A128" s="865" t="s">
        <v>1599</v>
      </c>
      <c r="B128" s="854"/>
      <c r="C128" s="1185" t="s">
        <v>1593</v>
      </c>
      <c r="D128" s="1198">
        <v>113</v>
      </c>
      <c r="E128" s="1120" t="s">
        <v>64</v>
      </c>
      <c r="F128" s="1120"/>
      <c r="G128" s="1120"/>
      <c r="H128" s="1121"/>
      <c r="I128" s="1121"/>
    </row>
    <row r="129" spans="1:10" s="1124" customFormat="1">
      <c r="A129" s="865"/>
      <c r="B129" s="854"/>
      <c r="C129" s="1185"/>
      <c r="D129" s="1145"/>
      <c r="E129" s="1120"/>
      <c r="F129" s="1120"/>
      <c r="G129" s="1120"/>
      <c r="H129" s="1121"/>
      <c r="I129" s="1121"/>
    </row>
    <row r="130" spans="1:10" s="1124" customFormat="1">
      <c r="A130" s="865">
        <v>5.12</v>
      </c>
      <c r="B130" s="854"/>
      <c r="C130" s="1185" t="s">
        <v>1532</v>
      </c>
      <c r="D130" s="1145">
        <v>585.25170000000003</v>
      </c>
      <c r="E130" s="1120" t="s">
        <v>32</v>
      </c>
      <c r="F130" s="1120"/>
      <c r="G130" s="1120"/>
      <c r="H130" s="1121"/>
      <c r="I130" s="1121"/>
    </row>
    <row r="131" spans="1:10" s="1124" customFormat="1">
      <c r="A131" s="865"/>
      <c r="B131" s="854"/>
      <c r="C131" s="1185"/>
      <c r="D131" s="1145"/>
      <c r="E131" s="1120"/>
      <c r="F131" s="1120"/>
      <c r="G131" s="1120"/>
      <c r="H131" s="1121"/>
      <c r="I131" s="1121"/>
    </row>
    <row r="132" spans="1:10" s="1124" customFormat="1" ht="15">
      <c r="A132" s="865"/>
      <c r="B132" s="854"/>
      <c r="C132" s="1187" t="s">
        <v>1539</v>
      </c>
      <c r="D132" s="1145"/>
      <c r="E132" s="1156"/>
      <c r="F132" s="1120"/>
      <c r="G132" s="1120"/>
      <c r="H132" s="1138"/>
      <c r="I132" s="1138"/>
      <c r="J132" s="1130"/>
    </row>
    <row r="133" spans="1:10" s="1124" customFormat="1">
      <c r="A133" s="865"/>
      <c r="B133" s="854"/>
      <c r="C133" s="1185"/>
      <c r="D133" s="1145"/>
      <c r="E133" s="1120"/>
      <c r="F133" s="1120"/>
      <c r="G133" s="1120"/>
      <c r="H133" s="1121"/>
      <c r="I133" s="1121"/>
      <c r="J133" s="1130"/>
    </row>
    <row r="134" spans="1:10" ht="15">
      <c r="A134" s="1129">
        <v>6</v>
      </c>
      <c r="B134" s="861"/>
      <c r="C134" s="1188" t="s">
        <v>1509</v>
      </c>
      <c r="D134" s="910"/>
      <c r="E134" s="1120"/>
      <c r="F134" s="1120"/>
      <c r="G134" s="1120"/>
      <c r="H134" s="1120"/>
      <c r="I134" s="1120"/>
    </row>
    <row r="135" spans="1:10" s="1124" customFormat="1" ht="106.5" customHeight="1">
      <c r="A135" s="865">
        <v>6.1</v>
      </c>
      <c r="B135" s="854"/>
      <c r="C135" s="1185" t="s">
        <v>1601</v>
      </c>
      <c r="D135" s="1145">
        <v>21.96</v>
      </c>
      <c r="E135" s="1120" t="s">
        <v>32</v>
      </c>
      <c r="F135" s="1120"/>
      <c r="G135" s="1120"/>
      <c r="H135" s="1121"/>
      <c r="I135" s="1121"/>
    </row>
    <row r="136" spans="1:10" s="1124" customFormat="1">
      <c r="A136" s="865"/>
      <c r="B136" s="854"/>
      <c r="C136" s="1185"/>
      <c r="D136" s="1145"/>
      <c r="E136" s="1120"/>
      <c r="F136" s="1120"/>
      <c r="G136" s="1120"/>
      <c r="H136" s="1121"/>
      <c r="I136" s="1121"/>
    </row>
    <row r="137" spans="1:10" s="1124" customFormat="1" ht="72" customHeight="1">
      <c r="A137" s="865">
        <v>6.2</v>
      </c>
      <c r="B137" s="854"/>
      <c r="C137" s="1185" t="s">
        <v>1602</v>
      </c>
      <c r="D137" s="1198">
        <v>177</v>
      </c>
      <c r="E137" s="1120" t="s">
        <v>64</v>
      </c>
      <c r="F137" s="1120"/>
      <c r="G137" s="1120"/>
      <c r="H137" s="1121"/>
      <c r="I137" s="1121"/>
    </row>
    <row r="138" spans="1:10" s="1124" customFormat="1">
      <c r="A138" s="865"/>
      <c r="B138" s="854"/>
      <c r="C138" s="1185"/>
      <c r="D138" s="1198"/>
      <c r="E138" s="1120"/>
      <c r="F138" s="1120"/>
      <c r="G138" s="1120"/>
      <c r="H138" s="1121"/>
      <c r="I138" s="1121"/>
    </row>
    <row r="139" spans="1:10" s="1124" customFormat="1" ht="108" customHeight="1">
      <c r="A139" s="865">
        <v>6.3</v>
      </c>
      <c r="B139" s="854"/>
      <c r="C139" s="1185" t="s">
        <v>1510</v>
      </c>
      <c r="D139" s="1198">
        <v>177</v>
      </c>
      <c r="E139" s="1120" t="s">
        <v>64</v>
      </c>
      <c r="F139" s="1120"/>
      <c r="G139" s="1120"/>
      <c r="H139" s="1121"/>
      <c r="I139" s="1121"/>
    </row>
    <row r="140" spans="1:10" s="1124" customFormat="1">
      <c r="A140" s="865"/>
      <c r="B140" s="854"/>
      <c r="C140" s="1185"/>
      <c r="D140" s="1145"/>
      <c r="E140" s="1120"/>
      <c r="F140" s="1120"/>
      <c r="G140" s="1120"/>
      <c r="H140" s="1121"/>
      <c r="I140" s="1121"/>
    </row>
    <row r="141" spans="1:10" s="1124" customFormat="1" ht="67.5" customHeight="1">
      <c r="A141" s="865">
        <v>6.4</v>
      </c>
      <c r="B141" s="854"/>
      <c r="C141" s="1185" t="s">
        <v>1603</v>
      </c>
      <c r="D141" s="1145"/>
      <c r="E141" s="1120"/>
      <c r="F141" s="1120"/>
      <c r="G141" s="1120"/>
      <c r="H141" s="1121"/>
      <c r="I141" s="1121"/>
    </row>
    <row r="142" spans="1:10" s="1124" customFormat="1" ht="27.75" customHeight="1">
      <c r="A142" s="865" t="s">
        <v>1604</v>
      </c>
      <c r="B142" s="854"/>
      <c r="C142" s="1185" t="s">
        <v>1605</v>
      </c>
      <c r="D142" s="1145">
        <v>739.23889600000007</v>
      </c>
      <c r="E142" s="1120" t="s">
        <v>1497</v>
      </c>
      <c r="F142" s="1120"/>
      <c r="G142" s="1120"/>
      <c r="H142" s="1121"/>
      <c r="I142" s="1121"/>
    </row>
    <row r="143" spans="1:10" s="1124" customFormat="1">
      <c r="A143" s="865"/>
      <c r="B143" s="854"/>
      <c r="C143" s="1185"/>
      <c r="D143" s="1145"/>
      <c r="E143" s="1120"/>
      <c r="F143" s="1120"/>
      <c r="G143" s="1120"/>
      <c r="H143" s="1121"/>
      <c r="I143" s="1121"/>
    </row>
    <row r="144" spans="1:10" s="1124" customFormat="1" ht="202.5" customHeight="1">
      <c r="A144" s="865">
        <v>6.5</v>
      </c>
      <c r="B144" s="854"/>
      <c r="C144" s="1185" t="s">
        <v>1606</v>
      </c>
      <c r="D144" s="1145">
        <v>2956.9555840000003</v>
      </c>
      <c r="E144" s="1120" t="s">
        <v>1497</v>
      </c>
      <c r="F144" s="1120"/>
      <c r="G144" s="1120"/>
      <c r="H144" s="1121"/>
      <c r="I144" s="1121"/>
    </row>
    <row r="145" spans="1:10" s="1124" customFormat="1">
      <c r="A145" s="865"/>
      <c r="B145" s="854"/>
      <c r="C145" s="1185"/>
      <c r="D145" s="1145"/>
      <c r="E145" s="1120"/>
      <c r="F145" s="1120"/>
      <c r="G145" s="1120"/>
      <c r="H145" s="1121"/>
      <c r="I145" s="1121"/>
    </row>
    <row r="146" spans="1:10" s="1124" customFormat="1" ht="15">
      <c r="A146" s="865"/>
      <c r="B146" s="854"/>
      <c r="C146" s="1187" t="s">
        <v>1539</v>
      </c>
      <c r="D146" s="1145"/>
      <c r="E146" s="1156"/>
      <c r="F146" s="1120"/>
      <c r="G146" s="1120"/>
      <c r="H146" s="1138"/>
      <c r="I146" s="1138"/>
      <c r="J146" s="1130"/>
    </row>
    <row r="147" spans="1:10" s="1124" customFormat="1">
      <c r="A147" s="865"/>
      <c r="B147" s="854"/>
      <c r="C147" s="1185"/>
      <c r="D147" s="1145"/>
      <c r="E147" s="1120"/>
      <c r="F147" s="1120"/>
      <c r="G147" s="1120"/>
      <c r="H147" s="1121"/>
      <c r="I147" s="1121"/>
    </row>
    <row r="148" spans="1:10" ht="15">
      <c r="A148" s="1129">
        <v>7</v>
      </c>
      <c r="B148" s="861"/>
      <c r="C148" s="1188" t="s">
        <v>1165</v>
      </c>
      <c r="D148" s="910"/>
      <c r="E148" s="1120"/>
      <c r="F148" s="1120"/>
      <c r="G148" s="1120"/>
      <c r="H148" s="1120"/>
      <c r="I148" s="1120"/>
    </row>
    <row r="149" spans="1:10" s="9" customFormat="1" ht="174" customHeight="1">
      <c r="A149" s="865">
        <v>7.1</v>
      </c>
      <c r="B149" s="854"/>
      <c r="C149" s="1185" t="s">
        <v>1511</v>
      </c>
      <c r="D149" s="869">
        <v>448.68392250000005</v>
      </c>
      <c r="E149" s="1120" t="s">
        <v>32</v>
      </c>
      <c r="F149" s="1120"/>
      <c r="G149" s="1120"/>
      <c r="H149" s="1121"/>
      <c r="I149" s="1121"/>
    </row>
    <row r="150" spans="1:10" s="9" customFormat="1" ht="14.25">
      <c r="A150" s="865"/>
      <c r="B150" s="854"/>
      <c r="C150" s="1192"/>
      <c r="D150" s="865"/>
      <c r="E150" s="1120"/>
      <c r="F150" s="1120"/>
      <c r="G150" s="1120"/>
      <c r="H150" s="1120"/>
      <c r="I150" s="1120"/>
    </row>
    <row r="151" spans="1:10" s="9" customFormat="1" ht="58.5" customHeight="1">
      <c r="A151" s="865">
        <v>7.2</v>
      </c>
      <c r="B151" s="854"/>
      <c r="C151" s="1185" t="s">
        <v>1515</v>
      </c>
      <c r="D151" s="865"/>
      <c r="E151" s="1120"/>
      <c r="F151" s="1120"/>
      <c r="G151" s="1120"/>
      <c r="H151" s="1120"/>
      <c r="I151" s="1120"/>
    </row>
    <row r="152" spans="1:10" s="9" customFormat="1">
      <c r="A152" s="865" t="s">
        <v>1609</v>
      </c>
      <c r="B152" s="854"/>
      <c r="C152" s="1185" t="s">
        <v>1516</v>
      </c>
      <c r="D152" s="869">
        <v>947.86032</v>
      </c>
      <c r="E152" s="1120" t="s">
        <v>32</v>
      </c>
      <c r="F152" s="1120"/>
      <c r="G152" s="1120"/>
      <c r="H152" s="1121"/>
      <c r="I152" s="1121"/>
    </row>
    <row r="153" spans="1:10" s="9" customFormat="1">
      <c r="A153" s="865"/>
      <c r="B153" s="854"/>
      <c r="C153" s="1185"/>
      <c r="D153" s="865"/>
      <c r="E153" s="1120"/>
      <c r="F153" s="1120"/>
      <c r="G153" s="1120"/>
      <c r="H153" s="1121"/>
      <c r="I153" s="1121"/>
    </row>
    <row r="154" spans="1:10" s="9" customFormat="1">
      <c r="A154" s="865"/>
      <c r="B154" s="854"/>
      <c r="C154" s="1185"/>
      <c r="D154" s="865"/>
      <c r="E154" s="1120"/>
      <c r="F154" s="1120"/>
      <c r="G154" s="1120"/>
      <c r="H154" s="1121"/>
      <c r="I154" s="1121"/>
    </row>
    <row r="155" spans="1:10" s="1124" customFormat="1" ht="147" customHeight="1">
      <c r="A155" s="865">
        <v>7.4</v>
      </c>
      <c r="B155" s="854"/>
      <c r="C155" s="1185" t="s">
        <v>1517</v>
      </c>
      <c r="D155" s="1145">
        <v>931.66821000000004</v>
      </c>
      <c r="E155" s="1120" t="s">
        <v>32</v>
      </c>
      <c r="F155" s="1120"/>
      <c r="G155" s="1120"/>
      <c r="H155" s="1121"/>
      <c r="I155" s="1121"/>
    </row>
    <row r="156" spans="1:10" s="1124" customFormat="1">
      <c r="A156" s="865"/>
      <c r="B156" s="854"/>
      <c r="C156" s="1185"/>
      <c r="D156" s="1145"/>
      <c r="E156" s="1120"/>
      <c r="F156" s="1120"/>
      <c r="G156" s="1120"/>
      <c r="H156" s="1121"/>
      <c r="I156" s="1121"/>
    </row>
    <row r="157" spans="1:10" s="1124" customFormat="1" ht="108" customHeight="1">
      <c r="A157" s="865">
        <v>7.5</v>
      </c>
      <c r="B157" s="854"/>
      <c r="C157" s="1185" t="s">
        <v>1518</v>
      </c>
      <c r="D157" s="1145">
        <v>297.01155000000006</v>
      </c>
      <c r="E157" s="1120" t="s">
        <v>32</v>
      </c>
      <c r="F157" s="1120"/>
      <c r="G157" s="1120"/>
      <c r="H157" s="1121"/>
      <c r="I157" s="1121"/>
    </row>
    <row r="158" spans="1:10" s="1124" customFormat="1">
      <c r="A158" s="865"/>
      <c r="B158" s="854"/>
      <c r="C158" s="1185"/>
      <c r="D158" s="1145"/>
      <c r="E158" s="1120"/>
      <c r="F158" s="1120"/>
      <c r="G158" s="1120"/>
      <c r="H158" s="1121"/>
      <c r="I158" s="1121"/>
    </row>
    <row r="159" spans="1:10" s="1124" customFormat="1" ht="123.75" customHeight="1">
      <c r="A159" s="865">
        <v>7.6</v>
      </c>
      <c r="B159" s="854"/>
      <c r="C159" s="1185" t="s">
        <v>1607</v>
      </c>
      <c r="D159" s="1145"/>
      <c r="E159" s="1120"/>
      <c r="F159" s="1120"/>
      <c r="G159" s="1120"/>
      <c r="H159" s="1120"/>
      <c r="I159" s="1120"/>
    </row>
    <row r="160" spans="1:10" s="1124" customFormat="1">
      <c r="A160" s="865" t="s">
        <v>1611</v>
      </c>
      <c r="B160" s="854"/>
      <c r="C160" s="1185" t="s">
        <v>1608</v>
      </c>
      <c r="D160" s="1145">
        <v>2405.3882819999999</v>
      </c>
      <c r="E160" s="1120" t="s">
        <v>32</v>
      </c>
      <c r="F160" s="1120"/>
      <c r="G160" s="1120"/>
      <c r="H160" s="1121"/>
      <c r="I160" s="1121"/>
    </row>
    <row r="161" spans="1:10" s="1124" customFormat="1">
      <c r="A161" s="865"/>
      <c r="B161" s="854"/>
      <c r="C161" s="1185"/>
      <c r="D161" s="1145"/>
      <c r="E161" s="1120"/>
      <c r="F161" s="1120"/>
      <c r="G161" s="1120"/>
      <c r="H161" s="1121"/>
      <c r="I161" s="1121"/>
    </row>
    <row r="162" spans="1:10" s="1124" customFormat="1" ht="93.75" customHeight="1">
      <c r="A162" s="865">
        <v>7.7</v>
      </c>
      <c r="B162" s="854"/>
      <c r="C162" s="1185" t="s">
        <v>1523</v>
      </c>
      <c r="D162" s="1145">
        <v>51.234974999999999</v>
      </c>
      <c r="E162" s="1120" t="s">
        <v>32</v>
      </c>
      <c r="F162" s="1120"/>
      <c r="G162" s="1120"/>
      <c r="H162" s="1121"/>
      <c r="I162" s="1121"/>
    </row>
    <row r="163" spans="1:10" s="1124" customFormat="1">
      <c r="A163" s="865"/>
      <c r="B163" s="854"/>
      <c r="C163" s="1185"/>
      <c r="D163" s="1145"/>
      <c r="E163" s="1120"/>
      <c r="F163" s="1120"/>
      <c r="G163" s="1120"/>
      <c r="H163" s="1121"/>
      <c r="I163" s="1121"/>
    </row>
    <row r="164" spans="1:10" s="1124" customFormat="1" ht="15">
      <c r="A164" s="865"/>
      <c r="B164" s="854"/>
      <c r="C164" s="1187" t="s">
        <v>1539</v>
      </c>
      <c r="D164" s="1145"/>
      <c r="E164" s="1156"/>
      <c r="F164" s="1120"/>
      <c r="G164" s="1120"/>
      <c r="H164" s="1138"/>
      <c r="I164" s="1138"/>
      <c r="J164" s="1130"/>
    </row>
    <row r="165" spans="1:10" s="1124" customFormat="1">
      <c r="A165" s="865"/>
      <c r="B165" s="854"/>
      <c r="C165" s="1185"/>
      <c r="D165" s="1145"/>
      <c r="E165" s="1120"/>
      <c r="F165" s="1120"/>
      <c r="G165" s="1120"/>
      <c r="H165" s="1121"/>
      <c r="I165" s="1121"/>
    </row>
    <row r="166" spans="1:10" ht="15">
      <c r="A166" s="1129">
        <v>8</v>
      </c>
      <c r="B166" s="861"/>
      <c r="C166" s="1188" t="s">
        <v>1612</v>
      </c>
      <c r="D166" s="910"/>
      <c r="E166" s="1120"/>
      <c r="F166" s="1120"/>
      <c r="G166" s="1120"/>
      <c r="H166" s="1120"/>
      <c r="I166" s="1120"/>
    </row>
    <row r="167" spans="1:10" s="9" customFormat="1" ht="207" customHeight="1">
      <c r="A167" s="865">
        <v>8.1</v>
      </c>
      <c r="B167" s="854"/>
      <c r="C167" s="1191" t="s">
        <v>1814</v>
      </c>
      <c r="D167" s="865"/>
      <c r="E167" s="1120"/>
      <c r="F167" s="1120"/>
      <c r="G167" s="1120"/>
      <c r="H167" s="1120"/>
      <c r="I167" s="1120"/>
    </row>
    <row r="168" spans="1:10" s="9" customFormat="1" ht="33" customHeight="1">
      <c r="A168" s="865"/>
      <c r="B168" s="854"/>
      <c r="C168" s="1191" t="s">
        <v>1815</v>
      </c>
      <c r="D168" s="865">
        <v>58.28</v>
      </c>
      <c r="E168" s="1120" t="s">
        <v>32</v>
      </c>
      <c r="F168" s="1120"/>
      <c r="G168" s="1120"/>
      <c r="H168" s="1136"/>
      <c r="I168" s="1136"/>
    </row>
    <row r="169" spans="1:10">
      <c r="A169" s="865" t="s">
        <v>1761</v>
      </c>
      <c r="B169" s="861"/>
      <c r="C169" s="1185" t="s">
        <v>1816</v>
      </c>
      <c r="D169" s="910">
        <v>27.97</v>
      </c>
      <c r="E169" s="1120" t="s">
        <v>32</v>
      </c>
      <c r="F169" s="1120"/>
      <c r="G169" s="1120"/>
      <c r="H169" s="1121"/>
      <c r="I169" s="1121"/>
    </row>
    <row r="170" spans="1:10">
      <c r="A170" s="1129"/>
      <c r="B170" s="861"/>
      <c r="C170" s="1185"/>
      <c r="D170" s="910"/>
      <c r="E170" s="1120"/>
      <c r="F170" s="1120"/>
      <c r="G170" s="1120"/>
      <c r="H170" s="1121"/>
      <c r="I170" s="1121"/>
    </row>
    <row r="171" spans="1:10" s="9" customFormat="1" ht="120.75" customHeight="1">
      <c r="A171" s="865">
        <v>8.1999999999999993</v>
      </c>
      <c r="B171" s="854"/>
      <c r="C171" s="1191" t="s">
        <v>1613</v>
      </c>
      <c r="D171" s="865">
        <v>8</v>
      </c>
      <c r="E171" s="1120" t="s">
        <v>64</v>
      </c>
      <c r="F171" s="1120"/>
      <c r="G171" s="1120"/>
      <c r="H171" s="1121"/>
      <c r="I171" s="1121"/>
    </row>
    <row r="172" spans="1:10" s="9" customFormat="1" ht="14.25">
      <c r="A172" s="865"/>
      <c r="B172" s="854"/>
      <c r="C172" s="1192"/>
      <c r="D172" s="865"/>
      <c r="E172" s="1120"/>
      <c r="F172" s="1120"/>
      <c r="G172" s="1120"/>
      <c r="H172" s="1120"/>
      <c r="I172" s="1120"/>
    </row>
    <row r="173" spans="1:10" s="9" customFormat="1" ht="76.5" customHeight="1">
      <c r="A173" s="865">
        <v>8.3000000000000007</v>
      </c>
      <c r="B173" s="854"/>
      <c r="C173" s="1185" t="s">
        <v>1614</v>
      </c>
      <c r="D173" s="865"/>
      <c r="E173" s="1120"/>
      <c r="F173" s="1120"/>
      <c r="G173" s="1120"/>
      <c r="H173" s="1120"/>
      <c r="I173" s="1120"/>
    </row>
    <row r="174" spans="1:10" s="9" customFormat="1">
      <c r="A174" s="865"/>
      <c r="B174" s="854"/>
      <c r="C174" s="1191" t="s">
        <v>804</v>
      </c>
      <c r="D174" s="865">
        <v>236.02</v>
      </c>
      <c r="E174" s="1120" t="s">
        <v>736</v>
      </c>
      <c r="F174" s="1120"/>
      <c r="G174" s="1120"/>
      <c r="H174" s="1121"/>
      <c r="I174" s="1121"/>
    </row>
    <row r="175" spans="1:10" s="9" customFormat="1" ht="14.25">
      <c r="A175" s="865"/>
      <c r="B175" s="854"/>
      <c r="C175" s="1192"/>
      <c r="D175" s="865"/>
      <c r="E175" s="1120"/>
      <c r="F175" s="1120"/>
      <c r="G175" s="1120"/>
      <c r="H175" s="1120"/>
      <c r="I175" s="1120"/>
    </row>
    <row r="176" spans="1:10" s="9" customFormat="1" ht="81" customHeight="1">
      <c r="A176" s="865">
        <v>8.4</v>
      </c>
      <c r="B176" s="854"/>
      <c r="C176" s="1185" t="s">
        <v>1519</v>
      </c>
      <c r="D176" s="865"/>
      <c r="E176" s="1120"/>
      <c r="F176" s="1120"/>
      <c r="G176" s="1120"/>
      <c r="H176" s="1120"/>
      <c r="I176" s="1120"/>
    </row>
    <row r="177" spans="1:10" s="9" customFormat="1" ht="14.25">
      <c r="A177" s="865" t="s">
        <v>1620</v>
      </c>
      <c r="B177" s="854"/>
      <c r="C177" s="1185" t="s">
        <v>1616</v>
      </c>
      <c r="D177" s="865"/>
      <c r="E177" s="1120"/>
      <c r="F177" s="1120"/>
      <c r="G177" s="1120"/>
      <c r="H177" s="1120"/>
      <c r="I177" s="1120"/>
    </row>
    <row r="178" spans="1:10" s="9" customFormat="1">
      <c r="A178" s="865" t="s">
        <v>1762</v>
      </c>
      <c r="B178" s="854"/>
      <c r="C178" s="1185" t="s">
        <v>1615</v>
      </c>
      <c r="D178" s="865">
        <v>16</v>
      </c>
      <c r="E178" s="1120" t="s">
        <v>64</v>
      </c>
      <c r="F178" s="1120"/>
      <c r="G178" s="1120"/>
      <c r="H178" s="1121"/>
      <c r="I178" s="1121"/>
    </row>
    <row r="179" spans="1:10" s="9" customFormat="1">
      <c r="A179" s="865" t="s">
        <v>1763</v>
      </c>
      <c r="B179" s="854"/>
      <c r="C179" s="1185" t="s">
        <v>1617</v>
      </c>
      <c r="D179" s="865"/>
      <c r="E179" s="1120"/>
      <c r="F179" s="1120"/>
      <c r="G179" s="1120"/>
      <c r="H179" s="1121"/>
      <c r="I179" s="1121"/>
    </row>
    <row r="180" spans="1:10" s="9" customFormat="1">
      <c r="A180" s="865" t="s">
        <v>1764</v>
      </c>
      <c r="B180" s="854"/>
      <c r="C180" s="1185" t="s">
        <v>1520</v>
      </c>
      <c r="D180" s="865">
        <v>16</v>
      </c>
      <c r="E180" s="1120" t="s">
        <v>64</v>
      </c>
      <c r="F180" s="1120"/>
      <c r="G180" s="1120"/>
      <c r="H180" s="1121"/>
      <c r="I180" s="1121"/>
    </row>
    <row r="181" spans="1:10" s="9" customFormat="1" ht="14.25">
      <c r="A181" s="865"/>
      <c r="B181" s="854"/>
      <c r="C181" s="1192"/>
      <c r="D181" s="865"/>
      <c r="E181" s="1120"/>
      <c r="F181" s="1120"/>
      <c r="G181" s="1120"/>
      <c r="H181" s="1120"/>
      <c r="I181" s="1120"/>
    </row>
    <row r="182" spans="1:10" s="9" customFormat="1" ht="95.25" customHeight="1">
      <c r="A182" s="865">
        <v>8.5</v>
      </c>
      <c r="B182" s="854"/>
      <c r="C182" s="1185" t="s">
        <v>1618</v>
      </c>
      <c r="D182" s="865"/>
      <c r="E182" s="1120"/>
      <c r="F182" s="1120"/>
      <c r="G182" s="1120"/>
      <c r="H182" s="1120"/>
      <c r="I182" s="1120"/>
    </row>
    <row r="183" spans="1:10" s="9" customFormat="1">
      <c r="A183" s="865" t="s">
        <v>1765</v>
      </c>
      <c r="B183" s="854"/>
      <c r="C183" s="1191" t="s">
        <v>1619</v>
      </c>
      <c r="D183" s="865">
        <v>108</v>
      </c>
      <c r="E183" s="1120" t="s">
        <v>64</v>
      </c>
      <c r="F183" s="1120"/>
      <c r="G183" s="1120"/>
      <c r="H183" s="1121"/>
      <c r="I183" s="1121"/>
    </row>
    <row r="184" spans="1:10" s="9" customFormat="1" ht="14.25">
      <c r="A184" s="865"/>
      <c r="B184" s="854"/>
      <c r="C184" s="1192"/>
      <c r="D184" s="865"/>
      <c r="E184" s="1120"/>
      <c r="F184" s="1120"/>
      <c r="G184" s="1120"/>
      <c r="H184" s="1120"/>
      <c r="I184" s="1120"/>
    </row>
    <row r="185" spans="1:10" s="9" customFormat="1" ht="42.75" customHeight="1">
      <c r="A185" s="865">
        <v>8.6</v>
      </c>
      <c r="B185" s="854"/>
      <c r="C185" s="1185" t="s">
        <v>1521</v>
      </c>
      <c r="D185" s="865">
        <v>16</v>
      </c>
      <c r="E185" s="1120" t="s">
        <v>64</v>
      </c>
      <c r="F185" s="1120"/>
      <c r="G185" s="1120"/>
      <c r="H185" s="1121"/>
      <c r="I185" s="1121"/>
    </row>
    <row r="186" spans="1:10" s="9" customFormat="1" ht="14.25">
      <c r="A186" s="865"/>
      <c r="B186" s="854"/>
      <c r="C186" s="1192"/>
      <c r="D186" s="865"/>
      <c r="E186" s="1120"/>
      <c r="F186" s="1120"/>
      <c r="G186" s="1120"/>
      <c r="H186" s="1120"/>
      <c r="I186" s="1120"/>
    </row>
    <row r="187" spans="1:10" s="9" customFormat="1" ht="226.5" customHeight="1">
      <c r="A187" s="865">
        <v>8.6999999999999993</v>
      </c>
      <c r="B187" s="854"/>
      <c r="C187" s="1191" t="s">
        <v>1621</v>
      </c>
      <c r="D187" s="865">
        <v>82.5</v>
      </c>
      <c r="E187" s="1120" t="s">
        <v>32</v>
      </c>
      <c r="F187" s="1120"/>
      <c r="G187" s="1120"/>
      <c r="H187" s="1121"/>
      <c r="I187" s="1121"/>
    </row>
    <row r="188" spans="1:10" s="9" customFormat="1" ht="14.25">
      <c r="A188" s="865"/>
      <c r="B188" s="854"/>
      <c r="C188" s="1192"/>
      <c r="D188" s="865"/>
      <c r="E188" s="1120"/>
      <c r="F188" s="1120"/>
      <c r="G188" s="1120"/>
      <c r="H188" s="1121"/>
      <c r="I188" s="1121"/>
    </row>
    <row r="189" spans="1:10" s="1124" customFormat="1" ht="15">
      <c r="A189" s="865"/>
      <c r="B189" s="854"/>
      <c r="C189" s="1187" t="s">
        <v>1539</v>
      </c>
      <c r="D189" s="1145"/>
      <c r="E189" s="1156"/>
      <c r="F189" s="1120"/>
      <c r="G189" s="1120"/>
      <c r="H189" s="1138"/>
      <c r="I189" s="1138"/>
      <c r="J189" s="1130"/>
    </row>
    <row r="190" spans="1:10" s="1124" customFormat="1">
      <c r="A190" s="865"/>
      <c r="B190" s="854"/>
      <c r="C190" s="1185"/>
      <c r="D190" s="1145"/>
      <c r="E190" s="1120"/>
      <c r="F190" s="1120"/>
      <c r="G190" s="1120"/>
      <c r="H190" s="1121"/>
      <c r="I190" s="1121"/>
    </row>
    <row r="191" spans="1:10" ht="15">
      <c r="A191" s="1129">
        <v>9</v>
      </c>
      <c r="B191" s="861"/>
      <c r="C191" s="1188" t="s">
        <v>1524</v>
      </c>
      <c r="D191" s="910"/>
      <c r="E191" s="1120"/>
      <c r="F191" s="1120"/>
      <c r="G191" s="1120"/>
      <c r="H191" s="1120"/>
      <c r="I191" s="1120"/>
    </row>
    <row r="192" spans="1:10" s="1124" customFormat="1">
      <c r="A192" s="865">
        <v>9.1</v>
      </c>
      <c r="B192" s="854"/>
      <c r="C192" s="1185" t="s">
        <v>1622</v>
      </c>
      <c r="D192" s="1145"/>
      <c r="E192" s="1120"/>
      <c r="F192" s="1120"/>
      <c r="G192" s="1120"/>
      <c r="H192" s="1120"/>
      <c r="I192" s="1120"/>
    </row>
    <row r="193" spans="1:9" s="1124" customFormat="1">
      <c r="A193" s="865" t="s">
        <v>1624</v>
      </c>
      <c r="B193" s="854"/>
      <c r="C193" s="1185" t="s">
        <v>1623</v>
      </c>
      <c r="D193" s="1145">
        <v>13419.443994000001</v>
      </c>
      <c r="E193" s="1120" t="s">
        <v>32</v>
      </c>
      <c r="F193" s="1120"/>
      <c r="G193" s="1120"/>
      <c r="H193" s="1121"/>
      <c r="I193" s="1121"/>
    </row>
    <row r="194" spans="1:9" s="1124" customFormat="1">
      <c r="A194" s="865"/>
      <c r="B194" s="854"/>
      <c r="C194" s="1185"/>
      <c r="D194" s="1145"/>
      <c r="E194" s="1120"/>
      <c r="F194" s="1120"/>
      <c r="G194" s="1120"/>
      <c r="H194" s="1121"/>
      <c r="I194" s="1121"/>
    </row>
    <row r="195" spans="1:9" s="1124" customFormat="1" ht="25.5">
      <c r="A195" s="865">
        <v>9.1999999999999993</v>
      </c>
      <c r="B195" s="854"/>
      <c r="C195" s="1185" t="s">
        <v>1627</v>
      </c>
      <c r="D195" s="1145"/>
      <c r="E195" s="1120"/>
      <c r="F195" s="1120"/>
      <c r="G195" s="1120"/>
      <c r="H195" s="1120"/>
      <c r="I195" s="1120"/>
    </row>
    <row r="196" spans="1:9" s="1124" customFormat="1">
      <c r="A196" s="865" t="s">
        <v>1626</v>
      </c>
      <c r="B196" s="854"/>
      <c r="C196" s="1185" t="s">
        <v>1625</v>
      </c>
      <c r="D196" s="1145">
        <v>3488.3922480000001</v>
      </c>
      <c r="E196" s="1120" t="s">
        <v>32</v>
      </c>
      <c r="F196" s="1120"/>
      <c r="G196" s="1120"/>
      <c r="H196" s="1121"/>
      <c r="I196" s="1121"/>
    </row>
    <row r="197" spans="1:9" s="1124" customFormat="1">
      <c r="A197" s="865"/>
      <c r="B197" s="854"/>
      <c r="C197" s="1185"/>
      <c r="D197" s="1145"/>
      <c r="E197" s="1120"/>
      <c r="F197" s="1120"/>
      <c r="G197" s="1120"/>
      <c r="H197" s="1121"/>
      <c r="I197" s="1121"/>
    </row>
    <row r="198" spans="1:9" s="1124" customFormat="1">
      <c r="A198" s="865">
        <v>9.3000000000000007</v>
      </c>
      <c r="B198" s="854"/>
      <c r="C198" s="1185" t="s">
        <v>1628</v>
      </c>
      <c r="D198" s="1145"/>
      <c r="E198" s="1120"/>
      <c r="F198" s="1120"/>
      <c r="G198" s="1120"/>
      <c r="H198" s="1120"/>
      <c r="I198" s="1120"/>
    </row>
    <row r="199" spans="1:9" s="1124" customFormat="1">
      <c r="A199" s="865" t="s">
        <v>1630</v>
      </c>
      <c r="B199" s="854"/>
      <c r="C199" s="1185" t="s">
        <v>1629</v>
      </c>
      <c r="D199" s="1145">
        <v>3353.1079999999997</v>
      </c>
      <c r="E199" s="1120" t="s">
        <v>32</v>
      </c>
      <c r="F199" s="1120"/>
      <c r="G199" s="1120"/>
      <c r="H199" s="1121"/>
      <c r="I199" s="1121"/>
    </row>
    <row r="200" spans="1:9" s="1124" customFormat="1">
      <c r="A200" s="865"/>
      <c r="B200" s="854"/>
      <c r="C200" s="1185"/>
      <c r="D200" s="1145"/>
      <c r="E200" s="1120"/>
      <c r="F200" s="1120"/>
      <c r="G200" s="1120"/>
      <c r="H200" s="1121"/>
      <c r="I200" s="1121"/>
    </row>
    <row r="201" spans="1:9" s="1124" customFormat="1">
      <c r="A201" s="865">
        <v>9.4</v>
      </c>
      <c r="B201" s="854"/>
      <c r="C201" s="1185" t="s">
        <v>1631</v>
      </c>
      <c r="D201" s="1145"/>
      <c r="E201" s="1120"/>
      <c r="F201" s="1120"/>
      <c r="G201" s="1120"/>
      <c r="H201" s="1120"/>
      <c r="I201" s="1120"/>
    </row>
    <row r="202" spans="1:9" s="1124" customFormat="1" ht="38.25">
      <c r="A202" s="865" t="s">
        <v>1633</v>
      </c>
      <c r="B202" s="854"/>
      <c r="C202" s="1185" t="s">
        <v>1632</v>
      </c>
      <c r="D202" s="1145">
        <v>194.49374999999998</v>
      </c>
      <c r="E202" s="1120" t="s">
        <v>32</v>
      </c>
      <c r="F202" s="1120"/>
      <c r="G202" s="1120"/>
      <c r="H202" s="1121"/>
      <c r="I202" s="1121"/>
    </row>
    <row r="203" spans="1:9" s="1124" customFormat="1">
      <c r="A203" s="865"/>
      <c r="B203" s="854"/>
      <c r="C203" s="1185"/>
      <c r="D203" s="1145"/>
      <c r="E203" s="1120"/>
      <c r="F203" s="1120"/>
      <c r="G203" s="1120"/>
      <c r="H203" s="1121"/>
      <c r="I203" s="1121"/>
    </row>
    <row r="204" spans="1:9" s="1124" customFormat="1" ht="38.25">
      <c r="A204" s="865">
        <v>9.5</v>
      </c>
      <c r="B204" s="854"/>
      <c r="C204" s="1185" t="s">
        <v>1634</v>
      </c>
      <c r="D204" s="1145"/>
      <c r="E204" s="1120"/>
      <c r="F204" s="1120"/>
      <c r="G204" s="1120"/>
      <c r="H204" s="1120"/>
      <c r="I204" s="1120"/>
    </row>
    <row r="205" spans="1:9" s="1124" customFormat="1">
      <c r="A205" s="865" t="s">
        <v>1636</v>
      </c>
      <c r="B205" s="854"/>
      <c r="C205" s="1185" t="s">
        <v>1635</v>
      </c>
      <c r="D205" s="1145">
        <v>22300.155066200005</v>
      </c>
      <c r="E205" s="1120" t="s">
        <v>32</v>
      </c>
      <c r="F205" s="1120"/>
      <c r="G205" s="1120"/>
      <c r="H205" s="1121"/>
      <c r="I205" s="1121"/>
    </row>
    <row r="206" spans="1:9" s="1124" customFormat="1">
      <c r="A206" s="865"/>
      <c r="B206" s="854"/>
      <c r="C206" s="1185"/>
      <c r="D206" s="1145"/>
      <c r="E206" s="1156"/>
      <c r="F206" s="1120"/>
      <c r="G206" s="1120"/>
      <c r="H206" s="860"/>
      <c r="I206" s="860"/>
    </row>
    <row r="207" spans="1:9" s="1124" customFormat="1" ht="95.25" customHeight="1">
      <c r="A207" s="865">
        <v>9.6</v>
      </c>
      <c r="B207" s="854"/>
      <c r="C207" s="1185" t="s">
        <v>1797</v>
      </c>
      <c r="D207" s="1145"/>
      <c r="E207" s="1156"/>
      <c r="F207" s="1120"/>
      <c r="G207" s="1120"/>
      <c r="H207" s="1120"/>
      <c r="I207" s="1120"/>
    </row>
    <row r="208" spans="1:9" s="1124" customFormat="1">
      <c r="A208" s="865" t="s">
        <v>1638</v>
      </c>
      <c r="B208" s="854"/>
      <c r="C208" s="1185" t="s">
        <v>1637</v>
      </c>
      <c r="D208" s="1145">
        <v>249.21600000000001</v>
      </c>
      <c r="E208" s="1120" t="s">
        <v>32</v>
      </c>
      <c r="F208" s="1120"/>
      <c r="G208" s="1120"/>
      <c r="H208" s="1121"/>
      <c r="I208" s="1121"/>
    </row>
    <row r="209" spans="1:10" s="1124" customFormat="1">
      <c r="A209" s="865"/>
      <c r="B209" s="854"/>
      <c r="C209" s="1185"/>
      <c r="D209" s="1145"/>
      <c r="E209" s="1156"/>
      <c r="F209" s="1120"/>
      <c r="G209" s="1120"/>
      <c r="H209" s="860"/>
      <c r="I209" s="860"/>
    </row>
    <row r="210" spans="1:10" s="1124" customFormat="1" ht="93.75" customHeight="1">
      <c r="A210" s="865">
        <v>9.6999999999999993</v>
      </c>
      <c r="B210" s="854"/>
      <c r="C210" s="1185" t="s">
        <v>1525</v>
      </c>
      <c r="D210" s="1145">
        <v>18435.299293400003</v>
      </c>
      <c r="E210" s="1120" t="s">
        <v>32</v>
      </c>
      <c r="F210" s="1120"/>
      <c r="G210" s="1120"/>
      <c r="H210" s="1121"/>
      <c r="I210" s="1121"/>
    </row>
    <row r="211" spans="1:10" s="1124" customFormat="1">
      <c r="A211" s="865"/>
      <c r="B211" s="854"/>
      <c r="C211" s="1185"/>
      <c r="D211" s="1145"/>
      <c r="E211" s="1156"/>
      <c r="F211" s="1120"/>
      <c r="G211" s="1120"/>
      <c r="H211" s="860"/>
      <c r="I211" s="860"/>
    </row>
    <row r="212" spans="1:10" s="1124" customFormat="1" ht="15">
      <c r="A212" s="865"/>
      <c r="B212" s="854"/>
      <c r="C212" s="1187" t="s">
        <v>1539</v>
      </c>
      <c r="D212" s="1145"/>
      <c r="E212" s="1156"/>
      <c r="F212" s="1120"/>
      <c r="G212" s="1120"/>
      <c r="H212" s="1138"/>
      <c r="I212" s="1138"/>
      <c r="J212" s="1130"/>
    </row>
    <row r="213" spans="1:10" s="1124" customFormat="1">
      <c r="A213" s="865"/>
      <c r="B213" s="854"/>
      <c r="C213" s="1185"/>
      <c r="D213" s="1145"/>
      <c r="E213" s="1120"/>
      <c r="F213" s="1120"/>
      <c r="G213" s="1120"/>
      <c r="H213" s="1121"/>
      <c r="I213" s="1121"/>
    </row>
    <row r="214" spans="1:10" ht="15">
      <c r="A214" s="1129">
        <v>10</v>
      </c>
      <c r="B214" s="861"/>
      <c r="C214" s="1188" t="s">
        <v>1639</v>
      </c>
      <c r="D214" s="910"/>
      <c r="E214" s="1120"/>
      <c r="F214" s="1120"/>
      <c r="G214" s="1120"/>
      <c r="H214" s="1120"/>
      <c r="I214" s="1120"/>
    </row>
    <row r="215" spans="1:10" s="9" customFormat="1" ht="59.25" customHeight="1">
      <c r="A215" s="865">
        <v>10.1</v>
      </c>
      <c r="B215" s="854"/>
      <c r="C215" s="1191" t="s">
        <v>1643</v>
      </c>
      <c r="D215" s="865"/>
      <c r="E215" s="1120"/>
      <c r="F215" s="1120"/>
      <c r="G215" s="1120"/>
      <c r="H215" s="1120"/>
      <c r="I215" s="1120"/>
    </row>
    <row r="216" spans="1:10" s="9" customFormat="1" ht="28.5" customHeight="1">
      <c r="A216" s="865" t="s">
        <v>1642</v>
      </c>
      <c r="B216" s="854"/>
      <c r="C216" s="1191" t="s">
        <v>1644</v>
      </c>
      <c r="D216" s="869">
        <v>116.02009924999999</v>
      </c>
      <c r="E216" s="1120" t="s">
        <v>25</v>
      </c>
      <c r="F216" s="1120"/>
      <c r="G216" s="1120"/>
      <c r="H216" s="1121"/>
      <c r="I216" s="1121"/>
    </row>
    <row r="217" spans="1:10" s="9" customFormat="1" ht="14.25">
      <c r="A217" s="865"/>
      <c r="B217" s="854"/>
      <c r="C217" s="1192"/>
      <c r="D217" s="865"/>
      <c r="E217" s="1120"/>
      <c r="F217" s="1120"/>
      <c r="G217" s="1120"/>
      <c r="H217" s="1120"/>
      <c r="I217" s="1120"/>
    </row>
    <row r="218" spans="1:10" s="9" customFormat="1" ht="66.75" customHeight="1">
      <c r="A218" s="865">
        <v>10.199999999999999</v>
      </c>
      <c r="B218" s="854"/>
      <c r="C218" s="1191" t="s">
        <v>1645</v>
      </c>
      <c r="D218" s="869">
        <v>225.16491250000001</v>
      </c>
      <c r="E218" s="1120" t="s">
        <v>25</v>
      </c>
      <c r="F218" s="1120"/>
      <c r="G218" s="1120"/>
      <c r="H218" s="1121"/>
      <c r="I218" s="1121"/>
    </row>
    <row r="219" spans="1:10" s="9" customFormat="1" ht="14.25">
      <c r="A219" s="865"/>
      <c r="B219" s="854"/>
      <c r="C219" s="1192"/>
      <c r="D219" s="865"/>
      <c r="E219" s="1120"/>
      <c r="F219" s="1120"/>
      <c r="G219" s="1120"/>
      <c r="H219" s="1120"/>
      <c r="I219" s="1120"/>
    </row>
    <row r="220" spans="1:10" s="1124" customFormat="1" ht="67.5" customHeight="1">
      <c r="A220" s="865">
        <v>10.3</v>
      </c>
      <c r="B220" s="854"/>
      <c r="C220" s="1185" t="s">
        <v>1640</v>
      </c>
      <c r="D220" s="1145"/>
      <c r="E220" s="1156"/>
      <c r="F220" s="1120"/>
      <c r="G220" s="1120"/>
      <c r="H220" s="860"/>
      <c r="I220" s="860"/>
    </row>
    <row r="221" spans="1:10" s="1124" customFormat="1">
      <c r="A221" s="865" t="s">
        <v>1646</v>
      </c>
      <c r="B221" s="854"/>
      <c r="C221" s="1185" t="s">
        <v>1641</v>
      </c>
      <c r="D221" s="1145">
        <v>438.87</v>
      </c>
      <c r="E221" s="1156" t="s">
        <v>25</v>
      </c>
      <c r="F221" s="1120"/>
      <c r="G221" s="1120"/>
      <c r="H221" s="1121"/>
      <c r="I221" s="1121"/>
    </row>
    <row r="222" spans="1:10" s="1124" customFormat="1">
      <c r="A222" s="865"/>
      <c r="B222" s="854"/>
      <c r="C222" s="1185"/>
      <c r="D222" s="1145"/>
      <c r="E222" s="1156"/>
      <c r="F222" s="1120"/>
      <c r="G222" s="1120"/>
      <c r="H222" s="860"/>
      <c r="I222" s="860"/>
    </row>
    <row r="223" spans="1:10" s="1124" customFormat="1" ht="57.75" customHeight="1">
      <c r="A223" s="865">
        <v>10.5</v>
      </c>
      <c r="B223" s="854"/>
      <c r="C223" s="1185" t="s">
        <v>1647</v>
      </c>
      <c r="D223" s="1145"/>
      <c r="E223" s="1156"/>
      <c r="F223" s="1120"/>
      <c r="G223" s="1120"/>
      <c r="H223" s="860"/>
      <c r="I223" s="860"/>
    </row>
    <row r="224" spans="1:10" s="1124" customFormat="1">
      <c r="A224" s="865" t="s">
        <v>1649</v>
      </c>
      <c r="B224" s="854"/>
      <c r="C224" s="1185" t="s">
        <v>1648</v>
      </c>
      <c r="D224" s="1198">
        <v>64</v>
      </c>
      <c r="E224" s="1156" t="s">
        <v>64</v>
      </c>
      <c r="F224" s="1120"/>
      <c r="G224" s="1120"/>
      <c r="H224" s="1121"/>
      <c r="I224" s="1121"/>
    </row>
    <row r="225" spans="1:10" s="1124" customFormat="1">
      <c r="A225" s="865"/>
      <c r="B225" s="854"/>
      <c r="C225" s="1185"/>
      <c r="D225" s="1145"/>
      <c r="E225" s="1156"/>
      <c r="F225" s="1120"/>
      <c r="G225" s="1120"/>
      <c r="H225" s="1121"/>
      <c r="I225" s="1121"/>
    </row>
    <row r="226" spans="1:10" s="1124" customFormat="1" ht="15">
      <c r="A226" s="865"/>
      <c r="B226" s="854"/>
      <c r="C226" s="1187" t="s">
        <v>1539</v>
      </c>
      <c r="D226" s="1145"/>
      <c r="E226" s="1156"/>
      <c r="F226" s="1120"/>
      <c r="G226" s="1120"/>
      <c r="H226" s="1138"/>
      <c r="I226" s="1138"/>
      <c r="J226" s="1130"/>
    </row>
    <row r="227" spans="1:10" s="1124" customFormat="1">
      <c r="A227" s="865"/>
      <c r="B227" s="854"/>
      <c r="C227" s="1185"/>
      <c r="D227" s="1145"/>
      <c r="E227" s="1120"/>
      <c r="F227" s="1120"/>
      <c r="G227" s="1120"/>
      <c r="H227" s="1121"/>
      <c r="I227" s="1121"/>
    </row>
    <row r="228" spans="1:10" ht="15">
      <c r="A228" s="1129">
        <v>11</v>
      </c>
      <c r="B228" s="861"/>
      <c r="C228" s="1188" t="s">
        <v>1650</v>
      </c>
      <c r="D228" s="910"/>
      <c r="E228" s="1120"/>
      <c r="F228" s="1120"/>
      <c r="G228" s="1120"/>
      <c r="H228" s="1120"/>
      <c r="I228" s="1120"/>
    </row>
    <row r="229" spans="1:10" s="1124" customFormat="1" ht="109.5" customHeight="1">
      <c r="A229" s="865">
        <v>11.1</v>
      </c>
      <c r="B229" s="854"/>
      <c r="C229" s="1185" t="s">
        <v>1651</v>
      </c>
      <c r="D229" s="1145"/>
      <c r="E229" s="1156"/>
      <c r="F229" s="1120"/>
      <c r="G229" s="1120"/>
      <c r="H229" s="1121"/>
      <c r="I229" s="1121"/>
    </row>
    <row r="230" spans="1:10" s="1124" customFormat="1" ht="38.25">
      <c r="A230" s="865" t="s">
        <v>1652</v>
      </c>
      <c r="B230" s="854"/>
      <c r="C230" s="1185" t="s">
        <v>1653</v>
      </c>
      <c r="D230" s="1145">
        <v>20</v>
      </c>
      <c r="E230" s="1156" t="s">
        <v>64</v>
      </c>
      <c r="F230" s="1120"/>
      <c r="G230" s="1120"/>
      <c r="H230" s="1121"/>
      <c r="I230" s="1121"/>
    </row>
    <row r="231" spans="1:10" s="1124" customFormat="1">
      <c r="A231" s="865"/>
      <c r="B231" s="854"/>
      <c r="C231" s="1185"/>
      <c r="D231" s="1145"/>
      <c r="E231" s="1156"/>
      <c r="F231" s="1120"/>
      <c r="G231" s="1120"/>
      <c r="H231" s="1121"/>
      <c r="I231" s="1121"/>
    </row>
    <row r="232" spans="1:10" s="1124" customFormat="1" ht="110.25" customHeight="1">
      <c r="A232" s="865">
        <v>11.2</v>
      </c>
      <c r="B232" s="854"/>
      <c r="C232" s="1185" t="s">
        <v>1527</v>
      </c>
      <c r="D232" s="1145"/>
      <c r="E232" s="1120"/>
      <c r="F232" s="1120"/>
      <c r="G232" s="1120"/>
      <c r="H232" s="1120"/>
      <c r="I232" s="1120"/>
    </row>
    <row r="233" spans="1:10" s="1124" customFormat="1" ht="25.5">
      <c r="A233" s="865" t="s">
        <v>1654</v>
      </c>
      <c r="B233" s="854"/>
      <c r="C233" s="1185" t="s">
        <v>1528</v>
      </c>
      <c r="D233" s="1198">
        <v>19</v>
      </c>
      <c r="E233" s="1120" t="s">
        <v>64</v>
      </c>
      <c r="F233" s="1120"/>
      <c r="G233" s="1120"/>
      <c r="H233" s="1121"/>
      <c r="I233" s="1121"/>
    </row>
    <row r="234" spans="1:10" s="1124" customFormat="1">
      <c r="A234" s="865"/>
      <c r="B234" s="854"/>
      <c r="C234" s="1185"/>
      <c r="D234" s="1198"/>
      <c r="E234" s="1156"/>
      <c r="F234" s="1120"/>
      <c r="G234" s="1120"/>
      <c r="H234" s="860"/>
      <c r="I234" s="860"/>
    </row>
    <row r="235" spans="1:10" s="1124" customFormat="1" ht="81" customHeight="1">
      <c r="A235" s="865">
        <v>11.3</v>
      </c>
      <c r="B235" s="854"/>
      <c r="C235" s="1185" t="s">
        <v>1655</v>
      </c>
      <c r="D235" s="1198"/>
      <c r="E235" s="1156"/>
      <c r="F235" s="1120"/>
      <c r="G235" s="1120"/>
      <c r="H235" s="1120"/>
      <c r="I235" s="1120"/>
    </row>
    <row r="236" spans="1:10" s="1124" customFormat="1" ht="38.25">
      <c r="A236" s="865" t="s">
        <v>1657</v>
      </c>
      <c r="B236" s="854"/>
      <c r="C236" s="1185" t="s">
        <v>1656</v>
      </c>
      <c r="D236" s="1198">
        <v>42</v>
      </c>
      <c r="E236" s="1120" t="s">
        <v>64</v>
      </c>
      <c r="F236" s="1120"/>
      <c r="G236" s="1120"/>
      <c r="H236" s="1121"/>
      <c r="I236" s="1121"/>
    </row>
    <row r="237" spans="1:10" s="1124" customFormat="1">
      <c r="A237" s="865"/>
      <c r="B237" s="854"/>
      <c r="C237" s="1185"/>
      <c r="D237" s="1198"/>
      <c r="E237" s="1120"/>
      <c r="F237" s="1120"/>
      <c r="G237" s="1120"/>
      <c r="H237" s="1121"/>
      <c r="I237" s="1121"/>
    </row>
    <row r="238" spans="1:10" s="1124" customFormat="1" ht="38.25">
      <c r="A238" s="865">
        <v>11.4</v>
      </c>
      <c r="B238" s="854"/>
      <c r="C238" s="1185" t="s">
        <v>1658</v>
      </c>
      <c r="D238" s="1198"/>
      <c r="E238" s="1120"/>
      <c r="F238" s="1120"/>
      <c r="G238" s="1120"/>
      <c r="H238" s="1120"/>
      <c r="I238" s="1120"/>
    </row>
    <row r="239" spans="1:10" s="1124" customFormat="1">
      <c r="A239" s="865" t="s">
        <v>1661</v>
      </c>
      <c r="B239" s="854"/>
      <c r="C239" s="1185" t="s">
        <v>1659</v>
      </c>
      <c r="D239" s="1198"/>
      <c r="E239" s="1120"/>
      <c r="F239" s="1120"/>
      <c r="G239" s="1120"/>
      <c r="H239" s="1121"/>
      <c r="I239" s="1121"/>
    </row>
    <row r="240" spans="1:10" s="1124" customFormat="1">
      <c r="A240" s="865" t="s">
        <v>1662</v>
      </c>
      <c r="B240" s="854"/>
      <c r="C240" s="1185" t="s">
        <v>1660</v>
      </c>
      <c r="D240" s="1198">
        <v>44</v>
      </c>
      <c r="E240" s="1120" t="s">
        <v>64</v>
      </c>
      <c r="F240" s="1120"/>
      <c r="G240" s="1120"/>
      <c r="H240" s="1121"/>
      <c r="I240" s="1121"/>
    </row>
    <row r="241" spans="1:9" s="1124" customFormat="1">
      <c r="A241" s="865"/>
      <c r="B241" s="854"/>
      <c r="C241" s="1185"/>
      <c r="D241" s="1198"/>
      <c r="E241" s="1120"/>
      <c r="F241" s="1120"/>
      <c r="G241" s="1120"/>
      <c r="H241" s="1121"/>
      <c r="I241" s="1121"/>
    </row>
    <row r="242" spans="1:9" s="1124" customFormat="1" ht="27.75" customHeight="1">
      <c r="A242" s="865">
        <v>11.5</v>
      </c>
      <c r="B242" s="854"/>
      <c r="C242" s="1185" t="s">
        <v>1690</v>
      </c>
      <c r="D242" s="1198">
        <v>52</v>
      </c>
      <c r="E242" s="1120" t="s">
        <v>64</v>
      </c>
      <c r="F242" s="1120"/>
      <c r="G242" s="1120"/>
      <c r="H242" s="1121"/>
      <c r="I242" s="1121"/>
    </row>
    <row r="243" spans="1:9" s="1124" customFormat="1">
      <c r="A243" s="865"/>
      <c r="B243" s="854"/>
      <c r="C243" s="1185"/>
      <c r="D243" s="1198"/>
      <c r="E243" s="1120"/>
      <c r="F243" s="1120"/>
      <c r="G243" s="1120"/>
      <c r="H243" s="1121"/>
      <c r="I243" s="1121"/>
    </row>
    <row r="244" spans="1:9" s="1124" customFormat="1" ht="67.5" customHeight="1">
      <c r="A244" s="865">
        <v>11.6</v>
      </c>
      <c r="B244" s="854"/>
      <c r="C244" s="1185" t="s">
        <v>1529</v>
      </c>
      <c r="D244" s="1198">
        <v>42</v>
      </c>
      <c r="E244" s="1120" t="s">
        <v>64</v>
      </c>
      <c r="F244" s="1120"/>
      <c r="G244" s="1120"/>
      <c r="H244" s="1121"/>
      <c r="I244" s="1121"/>
    </row>
    <row r="245" spans="1:9" s="1124" customFormat="1">
      <c r="A245" s="865"/>
      <c r="B245" s="854"/>
      <c r="C245" s="1185"/>
      <c r="D245" s="1145"/>
      <c r="E245" s="1120"/>
      <c r="F245" s="1120"/>
      <c r="G245" s="1120"/>
      <c r="H245" s="1121"/>
      <c r="I245" s="1121"/>
    </row>
    <row r="246" spans="1:9" s="1124" customFormat="1" ht="25.5">
      <c r="A246" s="865">
        <v>11.7</v>
      </c>
      <c r="B246" s="854"/>
      <c r="C246" s="1185" t="s">
        <v>1663</v>
      </c>
      <c r="D246" s="1145"/>
      <c r="E246" s="1120"/>
      <c r="F246" s="1120"/>
      <c r="G246" s="1120"/>
      <c r="H246" s="1120"/>
      <c r="I246" s="1120"/>
    </row>
    <row r="247" spans="1:9" s="1124" customFormat="1">
      <c r="A247" s="865" t="s">
        <v>1667</v>
      </c>
      <c r="B247" s="854"/>
      <c r="C247" s="1185" t="s">
        <v>1664</v>
      </c>
      <c r="D247" s="1145">
        <v>647.97</v>
      </c>
      <c r="E247" s="1120" t="s">
        <v>736</v>
      </c>
      <c r="F247" s="1120"/>
      <c r="G247" s="1120"/>
      <c r="H247" s="1121"/>
      <c r="I247" s="1121"/>
    </row>
    <row r="248" spans="1:9" s="1124" customFormat="1">
      <c r="A248" s="865"/>
      <c r="B248" s="854"/>
      <c r="C248" s="1185"/>
      <c r="D248" s="1145"/>
      <c r="E248" s="1120"/>
      <c r="F248" s="1120"/>
      <c r="G248" s="1120"/>
      <c r="H248" s="1121"/>
      <c r="I248" s="1121"/>
    </row>
    <row r="249" spans="1:9" s="1124" customFormat="1" ht="38.25">
      <c r="A249" s="865">
        <v>11.8</v>
      </c>
      <c r="B249" s="854"/>
      <c r="C249" s="1185" t="s">
        <v>1665</v>
      </c>
      <c r="D249" s="1145"/>
      <c r="E249" s="1120"/>
      <c r="F249" s="1120"/>
      <c r="G249" s="1120"/>
      <c r="H249" s="1121"/>
      <c r="I249" s="1121"/>
    </row>
    <row r="250" spans="1:9" s="1124" customFormat="1">
      <c r="A250" s="865" t="s">
        <v>1670</v>
      </c>
      <c r="B250" s="854"/>
      <c r="C250" s="1185" t="s">
        <v>1666</v>
      </c>
      <c r="D250" s="1198">
        <v>42</v>
      </c>
      <c r="E250" s="1120" t="s">
        <v>64</v>
      </c>
      <c r="F250" s="1120"/>
      <c r="G250" s="1120"/>
      <c r="H250" s="1121"/>
      <c r="I250" s="1121"/>
    </row>
    <row r="251" spans="1:9" s="1124" customFormat="1">
      <c r="A251" s="865"/>
      <c r="B251" s="854"/>
      <c r="C251" s="1185"/>
      <c r="D251" s="1198"/>
      <c r="E251" s="1120"/>
      <c r="F251" s="1120"/>
      <c r="G251" s="1120"/>
      <c r="H251" s="1121"/>
      <c r="I251" s="1121"/>
    </row>
    <row r="252" spans="1:9" s="1124" customFormat="1" ht="93.75" customHeight="1">
      <c r="A252" s="865">
        <v>11.9</v>
      </c>
      <c r="B252" s="854"/>
      <c r="C252" s="1185" t="s">
        <v>1668</v>
      </c>
      <c r="D252" s="1198"/>
      <c r="E252" s="1120"/>
      <c r="F252" s="1120"/>
      <c r="G252" s="1120"/>
      <c r="H252" s="1120"/>
      <c r="I252" s="1120"/>
    </row>
    <row r="253" spans="1:9" s="1124" customFormat="1">
      <c r="A253" s="865" t="s">
        <v>1673</v>
      </c>
      <c r="B253" s="854"/>
      <c r="C253" s="1185" t="s">
        <v>1669</v>
      </c>
      <c r="D253" s="1198">
        <v>180</v>
      </c>
      <c r="E253" s="1120" t="s">
        <v>64</v>
      </c>
      <c r="F253" s="1120"/>
      <c r="G253" s="1120"/>
      <c r="H253" s="1121"/>
      <c r="I253" s="1121"/>
    </row>
    <row r="254" spans="1:9" s="1124" customFormat="1">
      <c r="A254" s="865"/>
      <c r="B254" s="854"/>
      <c r="C254" s="1185"/>
      <c r="D254" s="1198"/>
      <c r="E254" s="1120"/>
      <c r="F254" s="1120"/>
      <c r="G254" s="1120"/>
      <c r="H254" s="1121"/>
      <c r="I254" s="1121"/>
    </row>
    <row r="255" spans="1:9" s="1124" customFormat="1" ht="38.25">
      <c r="A255" s="865" t="s">
        <v>1674</v>
      </c>
      <c r="B255" s="854"/>
      <c r="C255" s="1185" t="s">
        <v>1671</v>
      </c>
      <c r="D255" s="1198"/>
      <c r="E255" s="1120"/>
      <c r="F255" s="1120"/>
      <c r="G255" s="1120"/>
      <c r="H255" s="1120"/>
      <c r="I255" s="1120"/>
    </row>
    <row r="256" spans="1:9" s="1124" customFormat="1">
      <c r="A256" s="865" t="s">
        <v>1678</v>
      </c>
      <c r="B256" s="854"/>
      <c r="C256" s="1185" t="s">
        <v>1672</v>
      </c>
      <c r="D256" s="1198">
        <v>113</v>
      </c>
      <c r="E256" s="1120" t="s">
        <v>64</v>
      </c>
      <c r="F256" s="1120"/>
      <c r="G256" s="1120"/>
      <c r="H256" s="1121"/>
      <c r="I256" s="1121"/>
    </row>
    <row r="257" spans="1:9" s="1124" customFormat="1">
      <c r="A257" s="865"/>
      <c r="B257" s="854"/>
      <c r="C257" s="1185"/>
      <c r="D257" s="1198"/>
      <c r="E257" s="1120"/>
      <c r="F257" s="1120"/>
      <c r="G257" s="1120"/>
      <c r="H257" s="1121"/>
      <c r="I257" s="1121"/>
    </row>
    <row r="258" spans="1:9" s="1124" customFormat="1" ht="55.5" customHeight="1">
      <c r="A258" s="865">
        <v>11.11</v>
      </c>
      <c r="B258" s="854"/>
      <c r="C258" s="1185" t="s">
        <v>1679</v>
      </c>
      <c r="D258" s="1198"/>
      <c r="E258" s="1120"/>
      <c r="F258" s="1120"/>
      <c r="G258" s="1120"/>
      <c r="H258" s="1120"/>
      <c r="I258" s="1120"/>
    </row>
    <row r="259" spans="1:9" s="1124" customFormat="1">
      <c r="A259" s="865" t="s">
        <v>1682</v>
      </c>
      <c r="B259" s="854"/>
      <c r="C259" s="1185" t="s">
        <v>1680</v>
      </c>
      <c r="D259" s="1198"/>
      <c r="E259" s="1120"/>
      <c r="F259" s="1120"/>
      <c r="G259" s="1120"/>
      <c r="H259" s="1121"/>
      <c r="I259" s="1121"/>
    </row>
    <row r="260" spans="1:9" s="1124" customFormat="1">
      <c r="A260" s="865" t="s">
        <v>1683</v>
      </c>
      <c r="B260" s="854"/>
      <c r="C260" s="1185" t="s">
        <v>1681</v>
      </c>
      <c r="D260" s="1198">
        <v>225</v>
      </c>
      <c r="E260" s="1120" t="s">
        <v>64</v>
      </c>
      <c r="F260" s="1120"/>
      <c r="G260" s="1120"/>
      <c r="H260" s="1121"/>
      <c r="I260" s="1121"/>
    </row>
    <row r="261" spans="1:9" s="1124" customFormat="1">
      <c r="A261" s="865"/>
      <c r="B261" s="854"/>
      <c r="C261" s="1185"/>
      <c r="D261" s="1198"/>
      <c r="E261" s="1120"/>
      <c r="F261" s="1120"/>
      <c r="G261" s="1120"/>
      <c r="H261" s="1121"/>
      <c r="I261" s="1121"/>
    </row>
    <row r="262" spans="1:9" s="1124" customFormat="1">
      <c r="A262" s="865">
        <v>11.12</v>
      </c>
      <c r="B262" s="854"/>
      <c r="C262" s="1185" t="s">
        <v>1684</v>
      </c>
      <c r="D262" s="1198"/>
      <c r="E262" s="1120"/>
      <c r="F262" s="1120"/>
      <c r="G262" s="1120"/>
      <c r="H262" s="1120"/>
      <c r="I262" s="1120"/>
    </row>
    <row r="263" spans="1:9" s="1124" customFormat="1">
      <c r="A263" s="865" t="s">
        <v>1686</v>
      </c>
      <c r="B263" s="854"/>
      <c r="C263" s="1185" t="s">
        <v>1685</v>
      </c>
      <c r="D263" s="1198"/>
      <c r="E263" s="1120"/>
      <c r="F263" s="1120"/>
      <c r="G263" s="1120"/>
      <c r="H263" s="1121"/>
      <c r="I263" s="1121"/>
    </row>
    <row r="264" spans="1:9" s="1124" customFormat="1">
      <c r="A264" s="865" t="s">
        <v>1687</v>
      </c>
      <c r="B264" s="854"/>
      <c r="C264" s="1185" t="s">
        <v>1681</v>
      </c>
      <c r="D264" s="1198">
        <v>6</v>
      </c>
      <c r="E264" s="1120" t="s">
        <v>64</v>
      </c>
      <c r="F264" s="1120"/>
      <c r="G264" s="1120"/>
      <c r="H264" s="1121"/>
      <c r="I264" s="1121"/>
    </row>
    <row r="265" spans="1:9" s="1124" customFormat="1">
      <c r="A265" s="865"/>
      <c r="B265" s="854"/>
      <c r="C265" s="1185"/>
      <c r="D265" s="1198"/>
      <c r="E265" s="1120"/>
      <c r="F265" s="1120"/>
      <c r="G265" s="1120"/>
      <c r="H265" s="1121"/>
      <c r="I265" s="1121"/>
    </row>
    <row r="266" spans="1:9" s="1124" customFormat="1">
      <c r="A266" s="865">
        <v>11.13</v>
      </c>
      <c r="B266" s="854"/>
      <c r="C266" s="1185" t="s">
        <v>1688</v>
      </c>
      <c r="D266" s="1198"/>
      <c r="E266" s="1120"/>
      <c r="F266" s="1120"/>
      <c r="G266" s="1120"/>
      <c r="H266" s="1120"/>
      <c r="I266" s="1120"/>
    </row>
    <row r="267" spans="1:9" s="1124" customFormat="1">
      <c r="A267" s="865" t="s">
        <v>1610</v>
      </c>
      <c r="B267" s="854"/>
      <c r="C267" s="1185" t="s">
        <v>1664</v>
      </c>
      <c r="D267" s="1198"/>
      <c r="E267" s="1120"/>
      <c r="F267" s="1120"/>
      <c r="G267" s="1120"/>
      <c r="H267" s="1120"/>
      <c r="I267" s="1120"/>
    </row>
    <row r="268" spans="1:9" s="1124" customFormat="1">
      <c r="A268" s="865" t="s">
        <v>1689</v>
      </c>
      <c r="B268" s="854"/>
      <c r="C268" s="1185" t="s">
        <v>1681</v>
      </c>
      <c r="D268" s="1198">
        <v>6</v>
      </c>
      <c r="E268" s="1120" t="s">
        <v>64</v>
      </c>
      <c r="F268" s="1120"/>
      <c r="G268" s="1120"/>
      <c r="H268" s="1121"/>
      <c r="I268" s="1121"/>
    </row>
    <row r="269" spans="1:9" s="1124" customFormat="1">
      <c r="A269" s="865"/>
      <c r="B269" s="854"/>
      <c r="C269" s="1185"/>
      <c r="D269" s="1198"/>
      <c r="E269" s="1120"/>
      <c r="F269" s="1120"/>
      <c r="G269" s="1120"/>
      <c r="H269" s="1121"/>
      <c r="I269" s="1121"/>
    </row>
    <row r="270" spans="1:9" s="1124" customFormat="1" ht="63.75">
      <c r="A270" s="865">
        <v>11.14</v>
      </c>
      <c r="B270" s="854"/>
      <c r="C270" s="1185" t="s">
        <v>1675</v>
      </c>
      <c r="D270" s="1198"/>
      <c r="E270" s="1120"/>
      <c r="F270" s="1120"/>
      <c r="G270" s="1120"/>
      <c r="H270" s="1120"/>
      <c r="I270" s="1120"/>
    </row>
    <row r="271" spans="1:9" s="1124" customFormat="1">
      <c r="A271" s="865" t="s">
        <v>1691</v>
      </c>
      <c r="B271" s="854"/>
      <c r="C271" s="1185" t="s">
        <v>1676</v>
      </c>
      <c r="D271" s="1198"/>
      <c r="E271" s="1120"/>
      <c r="F271" s="1120"/>
      <c r="G271" s="1120"/>
      <c r="H271" s="1120"/>
      <c r="I271" s="1120"/>
    </row>
    <row r="272" spans="1:9" s="1124" customFormat="1">
      <c r="A272" s="865" t="s">
        <v>1692</v>
      </c>
      <c r="B272" s="854"/>
      <c r="C272" s="1185" t="s">
        <v>1677</v>
      </c>
      <c r="D272" s="1198">
        <v>18</v>
      </c>
      <c r="E272" s="1120" t="s">
        <v>64</v>
      </c>
      <c r="F272" s="1120"/>
      <c r="G272" s="1120"/>
      <c r="H272" s="1121"/>
      <c r="I272" s="1121"/>
    </row>
    <row r="273" spans="1:10" s="1124" customFormat="1">
      <c r="A273" s="865"/>
      <c r="B273" s="854"/>
      <c r="C273" s="1185"/>
      <c r="D273" s="1145"/>
      <c r="E273" s="1120"/>
      <c r="F273" s="1120"/>
      <c r="G273" s="1120"/>
      <c r="H273" s="1121"/>
      <c r="I273" s="1121"/>
    </row>
    <row r="274" spans="1:10" s="1124" customFormat="1" ht="60.75" customHeight="1">
      <c r="A274" s="865">
        <v>11.15</v>
      </c>
      <c r="B274" s="854"/>
      <c r="C274" s="1185" t="s">
        <v>1693</v>
      </c>
      <c r="D274" s="1145"/>
      <c r="E274" s="1120"/>
      <c r="F274" s="1120"/>
      <c r="G274" s="1120"/>
      <c r="H274" s="1120"/>
      <c r="I274" s="1120"/>
    </row>
    <row r="275" spans="1:10" s="1124" customFormat="1" ht="38.25">
      <c r="A275" s="865" t="s">
        <v>1695</v>
      </c>
      <c r="B275" s="854"/>
      <c r="C275" s="1185" t="s">
        <v>1694</v>
      </c>
      <c r="D275" s="1198">
        <v>29</v>
      </c>
      <c r="E275" s="1120" t="s">
        <v>64</v>
      </c>
      <c r="F275" s="1120"/>
      <c r="G275" s="1120"/>
      <c r="H275" s="1121"/>
      <c r="I275" s="1121"/>
    </row>
    <row r="276" spans="1:10" s="1124" customFormat="1">
      <c r="A276" s="865"/>
      <c r="B276" s="854"/>
      <c r="C276" s="1185"/>
      <c r="D276" s="1145"/>
      <c r="E276" s="1120"/>
      <c r="F276" s="1120"/>
      <c r="G276" s="1120"/>
      <c r="H276" s="1121"/>
      <c r="I276" s="1121"/>
    </row>
    <row r="277" spans="1:10" s="1124" customFormat="1" ht="15">
      <c r="A277" s="865"/>
      <c r="B277" s="854"/>
      <c r="C277" s="1187" t="s">
        <v>1539</v>
      </c>
      <c r="D277" s="1145"/>
      <c r="E277" s="1156"/>
      <c r="F277" s="1120"/>
      <c r="G277" s="1120"/>
      <c r="H277" s="1138"/>
      <c r="I277" s="1138"/>
      <c r="J277" s="1130"/>
    </row>
    <row r="278" spans="1:10" s="1124" customFormat="1">
      <c r="A278" s="865"/>
      <c r="B278" s="854"/>
      <c r="C278" s="1185"/>
      <c r="D278" s="1145"/>
      <c r="E278" s="1120"/>
      <c r="F278" s="1120"/>
      <c r="G278" s="1120"/>
      <c r="H278" s="1121"/>
      <c r="I278" s="1121"/>
      <c r="J278" s="1130"/>
    </row>
    <row r="279" spans="1:10" ht="15">
      <c r="A279" s="1129">
        <v>12</v>
      </c>
      <c r="B279" s="861"/>
      <c r="C279" s="1188" t="s">
        <v>1530</v>
      </c>
      <c r="D279" s="910"/>
      <c r="E279" s="1120"/>
      <c r="F279" s="1120"/>
      <c r="G279" s="1120"/>
      <c r="H279" s="1120"/>
      <c r="I279" s="1120"/>
      <c r="J279" s="1131"/>
    </row>
    <row r="280" spans="1:10">
      <c r="A280" s="1118"/>
      <c r="B280" s="1119"/>
      <c r="C280" s="1185"/>
      <c r="D280" s="910"/>
      <c r="E280" s="1120"/>
      <c r="F280" s="1120"/>
      <c r="G280" s="1120"/>
      <c r="H280" s="1121"/>
      <c r="I280" s="1121"/>
    </row>
    <row r="281" spans="1:10" ht="163.5" customHeight="1">
      <c r="A281" s="1118">
        <v>12.1</v>
      </c>
      <c r="B281" s="1119"/>
      <c r="C281" s="1185" t="s">
        <v>1701</v>
      </c>
      <c r="D281" s="910"/>
      <c r="E281" s="1120"/>
      <c r="F281" s="1120"/>
      <c r="G281" s="1120"/>
      <c r="H281" s="1121"/>
      <c r="I281" s="1121"/>
    </row>
    <row r="282" spans="1:10">
      <c r="A282" s="1118" t="s">
        <v>1702</v>
      </c>
      <c r="B282" s="1119"/>
      <c r="C282" s="1185" t="s">
        <v>1696</v>
      </c>
      <c r="D282" s="910">
        <v>48.16</v>
      </c>
      <c r="E282" s="1120" t="s">
        <v>736</v>
      </c>
      <c r="F282" s="1120"/>
      <c r="G282" s="1120"/>
      <c r="H282" s="1121"/>
      <c r="I282" s="1121"/>
    </row>
    <row r="283" spans="1:10">
      <c r="A283" s="1118" t="s">
        <v>1703</v>
      </c>
      <c r="B283" s="1119"/>
      <c r="C283" s="1185" t="s">
        <v>1700</v>
      </c>
      <c r="D283" s="910">
        <v>84.85</v>
      </c>
      <c r="E283" s="1120" t="s">
        <v>736</v>
      </c>
      <c r="F283" s="1120"/>
      <c r="G283" s="1120"/>
      <c r="H283" s="1121"/>
      <c r="I283" s="1121"/>
    </row>
    <row r="284" spans="1:10">
      <c r="A284" s="1118" t="s">
        <v>1704</v>
      </c>
      <c r="B284" s="1119"/>
      <c r="C284" s="1185" t="s">
        <v>1697</v>
      </c>
      <c r="D284" s="910">
        <v>43.69</v>
      </c>
      <c r="E284" s="1120" t="s">
        <v>736</v>
      </c>
      <c r="F284" s="1120"/>
      <c r="G284" s="1120"/>
      <c r="H284" s="1121"/>
      <c r="I284" s="1121"/>
    </row>
    <row r="285" spans="1:10">
      <c r="A285" s="1118" t="s">
        <v>1705</v>
      </c>
      <c r="B285" s="1119"/>
      <c r="C285" s="1185" t="s">
        <v>1698</v>
      </c>
      <c r="D285" s="910">
        <v>5.7</v>
      </c>
      <c r="E285" s="1120" t="s">
        <v>736</v>
      </c>
      <c r="F285" s="1120"/>
      <c r="G285" s="1120"/>
      <c r="H285" s="1121"/>
      <c r="I285" s="1121"/>
    </row>
    <row r="286" spans="1:10">
      <c r="A286" s="1118"/>
      <c r="B286" s="1119"/>
      <c r="C286" s="1185"/>
      <c r="D286" s="910"/>
      <c r="E286" s="1120"/>
      <c r="F286" s="1120"/>
      <c r="G286" s="1120"/>
      <c r="H286" s="1121"/>
      <c r="I286" s="1121"/>
    </row>
    <row r="287" spans="1:10" ht="109.5" customHeight="1">
      <c r="A287" s="1118">
        <v>12.2</v>
      </c>
      <c r="B287" s="1119"/>
      <c r="C287" s="1185" t="s">
        <v>1706</v>
      </c>
      <c r="D287" s="910"/>
      <c r="E287" s="1120"/>
      <c r="F287" s="1120"/>
      <c r="G287" s="1120"/>
      <c r="H287" s="1121"/>
      <c r="I287" s="1121"/>
    </row>
    <row r="288" spans="1:10">
      <c r="A288" s="1118" t="s">
        <v>1707</v>
      </c>
      <c r="B288" s="1119"/>
      <c r="C288" s="1185" t="s">
        <v>1698</v>
      </c>
      <c r="D288" s="910">
        <v>84.23</v>
      </c>
      <c r="E288" s="1120" t="s">
        <v>736</v>
      </c>
      <c r="F288" s="1120"/>
      <c r="G288" s="1120"/>
      <c r="H288" s="1121"/>
      <c r="I288" s="1121"/>
    </row>
    <row r="289" spans="1:9">
      <c r="A289" s="1118" t="s">
        <v>1708</v>
      </c>
      <c r="B289" s="1119"/>
      <c r="C289" s="1185" t="s">
        <v>1699</v>
      </c>
      <c r="D289" s="910">
        <v>200.07</v>
      </c>
      <c r="E289" s="1120" t="s">
        <v>736</v>
      </c>
      <c r="F289" s="1120"/>
      <c r="G289" s="1120"/>
      <c r="H289" s="1121"/>
      <c r="I289" s="1121"/>
    </row>
    <row r="290" spans="1:9">
      <c r="A290" s="1118"/>
      <c r="B290" s="1119"/>
      <c r="C290" s="861"/>
      <c r="D290" s="910"/>
      <c r="E290" s="1120"/>
      <c r="F290" s="1120"/>
      <c r="G290" s="1120"/>
      <c r="H290" s="1121"/>
      <c r="I290" s="1121"/>
    </row>
    <row r="291" spans="1:9" ht="25.5">
      <c r="A291" s="1118">
        <v>12.3</v>
      </c>
      <c r="B291" s="1119"/>
      <c r="C291" s="1185" t="s">
        <v>1709</v>
      </c>
      <c r="D291" s="910"/>
      <c r="E291" s="1120"/>
      <c r="F291" s="1120"/>
      <c r="G291" s="1120"/>
      <c r="H291" s="1121"/>
      <c r="I291" s="1121"/>
    </row>
    <row r="292" spans="1:9">
      <c r="A292" s="1118" t="s">
        <v>1713</v>
      </c>
      <c r="B292" s="1119"/>
      <c r="C292" s="1185" t="s">
        <v>1710</v>
      </c>
      <c r="D292" s="910">
        <v>18</v>
      </c>
      <c r="E292" s="1120" t="s">
        <v>64</v>
      </c>
      <c r="F292" s="1120"/>
      <c r="G292" s="1120"/>
      <c r="H292" s="1121"/>
      <c r="I292" s="1121"/>
    </row>
    <row r="293" spans="1:9">
      <c r="A293" s="1118" t="s">
        <v>1714</v>
      </c>
      <c r="B293" s="1119"/>
      <c r="C293" s="1185" t="s">
        <v>1711</v>
      </c>
      <c r="D293" s="910">
        <v>12</v>
      </c>
      <c r="E293" s="1120" t="s">
        <v>64</v>
      </c>
      <c r="F293" s="1120"/>
      <c r="G293" s="1120"/>
      <c r="H293" s="1121"/>
      <c r="I293" s="1121"/>
    </row>
    <row r="294" spans="1:9">
      <c r="A294" s="1118" t="s">
        <v>1715</v>
      </c>
      <c r="B294" s="1119"/>
      <c r="C294" s="1185" t="s">
        <v>1712</v>
      </c>
      <c r="D294" s="910">
        <v>9</v>
      </c>
      <c r="E294" s="1120" t="s">
        <v>64</v>
      </c>
      <c r="F294" s="1120"/>
      <c r="G294" s="1120"/>
      <c r="H294" s="1121"/>
      <c r="I294" s="1121"/>
    </row>
    <row r="295" spans="1:9">
      <c r="A295" s="1118"/>
      <c r="B295" s="1119"/>
      <c r="C295" s="1185"/>
      <c r="D295" s="910"/>
      <c r="E295" s="1120"/>
      <c r="F295" s="1120"/>
      <c r="G295" s="1120"/>
      <c r="H295" s="1121"/>
      <c r="I295" s="1121"/>
    </row>
    <row r="296" spans="1:9" ht="25.5">
      <c r="A296" s="1118">
        <v>12.4</v>
      </c>
      <c r="B296" s="1119"/>
      <c r="C296" s="1185" t="s">
        <v>1716</v>
      </c>
      <c r="D296" s="910"/>
      <c r="E296" s="1120"/>
      <c r="F296" s="1120"/>
      <c r="G296" s="1120"/>
      <c r="H296" s="1121"/>
      <c r="I296" s="1121"/>
    </row>
    <row r="297" spans="1:9">
      <c r="A297" s="1118" t="s">
        <v>1718</v>
      </c>
      <c r="B297" s="1119"/>
      <c r="C297" s="1185" t="s">
        <v>1717</v>
      </c>
      <c r="D297" s="910"/>
      <c r="E297" s="1120"/>
      <c r="F297" s="1120"/>
      <c r="G297" s="1120"/>
      <c r="H297" s="1121"/>
      <c r="I297" s="1121"/>
    </row>
    <row r="298" spans="1:9">
      <c r="A298" s="1118" t="s">
        <v>1719</v>
      </c>
      <c r="B298" s="1119"/>
      <c r="C298" s="1185" t="s">
        <v>1720</v>
      </c>
      <c r="D298" s="910">
        <v>35</v>
      </c>
      <c r="E298" s="1120" t="s">
        <v>64</v>
      </c>
      <c r="F298" s="1120"/>
      <c r="G298" s="1120"/>
      <c r="H298" s="1121"/>
      <c r="I298" s="1121"/>
    </row>
    <row r="299" spans="1:9">
      <c r="A299" s="1118" t="s">
        <v>1721</v>
      </c>
      <c r="B299" s="1119"/>
      <c r="C299" s="1185" t="s">
        <v>1531</v>
      </c>
      <c r="D299" s="910">
        <v>80</v>
      </c>
      <c r="E299" s="1120" t="s">
        <v>64</v>
      </c>
      <c r="F299" s="1120"/>
      <c r="G299" s="1120"/>
      <c r="H299" s="1121"/>
      <c r="I299" s="1121"/>
    </row>
    <row r="300" spans="1:9">
      <c r="A300" s="1118"/>
      <c r="B300" s="1119"/>
      <c r="C300" s="1185"/>
      <c r="D300" s="910"/>
      <c r="E300" s="1120"/>
      <c r="F300" s="1120"/>
      <c r="G300" s="1120"/>
      <c r="H300" s="1121"/>
      <c r="I300" s="1121"/>
    </row>
    <row r="301" spans="1:9" ht="38.25">
      <c r="A301" s="1118">
        <v>12.5</v>
      </c>
      <c r="B301" s="1119"/>
      <c r="C301" s="1185" t="s">
        <v>1722</v>
      </c>
      <c r="D301" s="910"/>
      <c r="E301" s="1120"/>
      <c r="F301" s="1120"/>
      <c r="G301" s="1120"/>
      <c r="H301" s="1121"/>
      <c r="I301" s="1121"/>
    </row>
    <row r="302" spans="1:9">
      <c r="A302" s="1118" t="s">
        <v>1724</v>
      </c>
      <c r="B302" s="1119"/>
      <c r="C302" s="1185" t="s">
        <v>1723</v>
      </c>
      <c r="D302" s="910">
        <v>31</v>
      </c>
      <c r="E302" s="1120" t="s">
        <v>64</v>
      </c>
      <c r="F302" s="1120"/>
      <c r="G302" s="1120"/>
      <c r="H302" s="1121"/>
      <c r="I302" s="1121"/>
    </row>
    <row r="303" spans="1:9">
      <c r="A303" s="1118"/>
      <c r="B303" s="1119"/>
      <c r="C303" s="1185"/>
      <c r="D303" s="910"/>
      <c r="E303" s="1120"/>
      <c r="F303" s="1120"/>
      <c r="G303" s="1120"/>
      <c r="H303" s="1121"/>
      <c r="I303" s="1121"/>
    </row>
    <row r="304" spans="1:9" ht="82.5" customHeight="1">
      <c r="A304" s="1118">
        <v>12.6</v>
      </c>
      <c r="B304" s="1119"/>
      <c r="C304" s="1185" t="s">
        <v>1725</v>
      </c>
      <c r="D304" s="910"/>
      <c r="E304" s="1120"/>
      <c r="F304" s="1120"/>
      <c r="G304" s="1120"/>
      <c r="H304" s="1121"/>
      <c r="I304" s="1121"/>
    </row>
    <row r="305" spans="1:10">
      <c r="A305" s="1118" t="s">
        <v>1727</v>
      </c>
      <c r="B305" s="1119"/>
      <c r="C305" s="1185" t="s">
        <v>1726</v>
      </c>
      <c r="D305" s="910">
        <v>36000</v>
      </c>
      <c r="E305" s="1120" t="s">
        <v>1960</v>
      </c>
      <c r="F305" s="1120"/>
      <c r="G305" s="1120"/>
      <c r="H305" s="1121"/>
      <c r="I305" s="1121"/>
    </row>
    <row r="306" spans="1:10">
      <c r="A306" s="1118"/>
      <c r="B306" s="1119"/>
      <c r="C306" s="1185"/>
      <c r="D306" s="910"/>
      <c r="E306" s="1120"/>
      <c r="F306" s="1120"/>
      <c r="G306" s="1120"/>
      <c r="H306" s="1121"/>
      <c r="I306" s="1121"/>
    </row>
    <row r="307" spans="1:10" ht="25.5">
      <c r="A307" s="1118">
        <v>12.7</v>
      </c>
      <c r="B307" s="1119"/>
      <c r="C307" s="1185" t="s">
        <v>1728</v>
      </c>
      <c r="D307" s="910"/>
      <c r="E307" s="1120"/>
      <c r="F307" s="1120"/>
      <c r="G307" s="1120"/>
      <c r="H307" s="1121"/>
      <c r="I307" s="1121"/>
    </row>
    <row r="308" spans="1:10">
      <c r="A308" s="1118" t="s">
        <v>1729</v>
      </c>
      <c r="B308" s="1119"/>
      <c r="C308" s="1185" t="s">
        <v>1720</v>
      </c>
      <c r="D308" s="910">
        <v>33</v>
      </c>
      <c r="E308" s="1120" t="s">
        <v>64</v>
      </c>
      <c r="F308" s="1120"/>
      <c r="G308" s="1120"/>
      <c r="H308" s="1121"/>
      <c r="I308" s="1121"/>
    </row>
    <row r="309" spans="1:10">
      <c r="A309" s="1118"/>
      <c r="B309" s="1119"/>
      <c r="C309" s="1185"/>
      <c r="D309" s="910"/>
      <c r="E309" s="1120"/>
      <c r="F309" s="1120"/>
      <c r="G309" s="1120"/>
      <c r="H309" s="1121"/>
      <c r="I309" s="1121"/>
    </row>
    <row r="310" spans="1:10" ht="38.25">
      <c r="A310" s="1118">
        <v>12.8</v>
      </c>
      <c r="B310" s="1119"/>
      <c r="C310" s="1185" t="s">
        <v>1730</v>
      </c>
      <c r="D310" s="910"/>
      <c r="E310" s="1120"/>
      <c r="F310" s="1120"/>
      <c r="G310" s="1120"/>
      <c r="H310" s="1121"/>
      <c r="I310" s="1121"/>
    </row>
    <row r="311" spans="1:10">
      <c r="A311" s="1118" t="s">
        <v>1732</v>
      </c>
      <c r="B311" s="1119"/>
      <c r="C311" s="1185" t="s">
        <v>1731</v>
      </c>
      <c r="D311" s="910">
        <v>68</v>
      </c>
      <c r="E311" s="1120" t="s">
        <v>64</v>
      </c>
      <c r="F311" s="1120"/>
      <c r="G311" s="1120"/>
      <c r="H311" s="1121"/>
      <c r="I311" s="1121"/>
    </row>
    <row r="312" spans="1:10">
      <c r="A312" s="1118"/>
      <c r="B312" s="1119"/>
      <c r="C312" s="1185"/>
      <c r="D312" s="910"/>
      <c r="E312" s="1120"/>
      <c r="F312" s="1120"/>
      <c r="G312" s="1120"/>
      <c r="H312" s="1121"/>
      <c r="I312" s="1121"/>
    </row>
    <row r="313" spans="1:10" ht="55.5" customHeight="1">
      <c r="A313" s="1118">
        <v>12.9</v>
      </c>
      <c r="B313" s="1119"/>
      <c r="C313" s="1185" t="s">
        <v>1733</v>
      </c>
      <c r="D313" s="910">
        <v>33</v>
      </c>
      <c r="E313" s="1120" t="s">
        <v>64</v>
      </c>
      <c r="F313" s="1120"/>
      <c r="G313" s="1120"/>
      <c r="H313" s="1121"/>
      <c r="I313" s="1121"/>
    </row>
    <row r="314" spans="1:10">
      <c r="A314" s="1118"/>
      <c r="B314" s="1119"/>
      <c r="C314" s="1185"/>
      <c r="D314" s="910"/>
      <c r="E314" s="1120"/>
      <c r="F314" s="1120"/>
      <c r="G314" s="1120"/>
      <c r="H314" s="1121"/>
      <c r="I314" s="1121"/>
    </row>
    <row r="315" spans="1:10" s="1124" customFormat="1" ht="15">
      <c r="A315" s="865"/>
      <c r="B315" s="854"/>
      <c r="C315" s="1187" t="s">
        <v>1539</v>
      </c>
      <c r="D315" s="1145"/>
      <c r="E315" s="1156"/>
      <c r="F315" s="1120"/>
      <c r="G315" s="1120"/>
      <c r="H315" s="1138"/>
      <c r="I315" s="1138"/>
      <c r="J315" s="1130"/>
    </row>
    <row r="316" spans="1:10" s="1124" customFormat="1">
      <c r="A316" s="865"/>
      <c r="B316" s="854"/>
      <c r="C316" s="1185"/>
      <c r="D316" s="1145"/>
      <c r="E316" s="1120"/>
      <c r="F316" s="1120"/>
      <c r="G316" s="1120"/>
      <c r="H316" s="1121"/>
      <c r="I316" s="1121"/>
      <c r="J316" s="1130"/>
    </row>
    <row r="317" spans="1:10" ht="15">
      <c r="A317" s="1129">
        <v>13</v>
      </c>
      <c r="B317" s="861"/>
      <c r="C317" s="1188" t="s">
        <v>1734</v>
      </c>
      <c r="D317" s="910"/>
      <c r="E317" s="1120"/>
      <c r="F317" s="1120"/>
      <c r="G317" s="1120"/>
      <c r="H317" s="1120"/>
      <c r="I317" s="1120"/>
      <c r="J317" s="1131"/>
    </row>
    <row r="318" spans="1:10" s="9" customFormat="1" ht="14.25">
      <c r="A318" s="865"/>
      <c r="B318" s="854"/>
      <c r="C318" s="1192"/>
      <c r="D318" s="865"/>
      <c r="E318" s="1120"/>
      <c r="F318" s="1120"/>
      <c r="G318" s="1120"/>
      <c r="H318" s="1120"/>
      <c r="I318" s="1120"/>
      <c r="J318" s="1132"/>
    </row>
    <row r="319" spans="1:10" s="9" customFormat="1" ht="114.75" customHeight="1">
      <c r="A319" s="865">
        <v>13.1</v>
      </c>
      <c r="B319" s="854"/>
      <c r="C319" s="1192" t="s">
        <v>1768</v>
      </c>
      <c r="D319" s="865"/>
      <c r="E319" s="1120"/>
      <c r="F319" s="1120"/>
      <c r="G319" s="1120"/>
      <c r="H319" s="1120"/>
      <c r="I319" s="1120"/>
      <c r="J319" s="1132"/>
    </row>
    <row r="320" spans="1:10" s="9" customFormat="1" ht="14.25">
      <c r="A320" s="865" t="s">
        <v>1735</v>
      </c>
      <c r="B320" s="854"/>
      <c r="C320" s="1192" t="s">
        <v>1769</v>
      </c>
      <c r="D320" s="865"/>
      <c r="E320" s="1120"/>
      <c r="F320" s="1120"/>
      <c r="G320" s="1120"/>
      <c r="H320" s="1120"/>
      <c r="I320" s="1120"/>
      <c r="J320" s="1132"/>
    </row>
    <row r="321" spans="1:10" s="9" customFormat="1" ht="28.5">
      <c r="A321" s="865" t="s">
        <v>1770</v>
      </c>
      <c r="B321" s="854"/>
      <c r="C321" s="1192" t="s">
        <v>1742</v>
      </c>
      <c r="D321" s="865">
        <v>4</v>
      </c>
      <c r="E321" s="1120" t="s">
        <v>64</v>
      </c>
      <c r="F321" s="1120"/>
      <c r="G321" s="1120"/>
      <c r="H321" s="1121"/>
      <c r="I321" s="1121"/>
      <c r="J321" s="1132"/>
    </row>
    <row r="322" spans="1:10" s="9" customFormat="1" ht="14.25">
      <c r="A322" s="865"/>
      <c r="B322" s="854"/>
      <c r="C322" s="1192"/>
      <c r="D322" s="865"/>
      <c r="E322" s="1120"/>
      <c r="F322" s="1120"/>
      <c r="G322" s="1120"/>
      <c r="H322" s="1120"/>
      <c r="I322" s="1120"/>
      <c r="J322" s="1132"/>
    </row>
    <row r="323" spans="1:10" s="9" customFormat="1" ht="72.75" customHeight="1">
      <c r="A323" s="865">
        <v>13.2</v>
      </c>
      <c r="B323" s="854"/>
      <c r="C323" s="1191" t="s">
        <v>1736</v>
      </c>
      <c r="D323" s="865"/>
      <c r="E323" s="1120"/>
      <c r="F323" s="1120"/>
      <c r="G323" s="1120"/>
      <c r="H323" s="1120"/>
      <c r="I323" s="1120"/>
      <c r="J323" s="1132"/>
    </row>
    <row r="324" spans="1:10" s="9" customFormat="1">
      <c r="A324" s="865" t="s">
        <v>1738</v>
      </c>
      <c r="B324" s="854"/>
      <c r="C324" s="1191" t="s">
        <v>1737</v>
      </c>
      <c r="D324" s="869">
        <v>47.585999999999999</v>
      </c>
      <c r="E324" s="1120" t="s">
        <v>736</v>
      </c>
      <c r="F324" s="1120"/>
      <c r="G324" s="1120"/>
      <c r="H324" s="1121"/>
      <c r="I324" s="1121"/>
      <c r="J324" s="1132"/>
    </row>
    <row r="325" spans="1:10" s="9" customFormat="1">
      <c r="A325" s="865"/>
      <c r="B325" s="854"/>
      <c r="C325" s="1191"/>
      <c r="D325" s="865"/>
      <c r="E325" s="1120"/>
      <c r="F325" s="1120"/>
      <c r="G325" s="1120"/>
      <c r="H325" s="1120"/>
      <c r="I325" s="1120"/>
      <c r="J325" s="1132"/>
    </row>
    <row r="326" spans="1:10" s="9" customFormat="1" ht="201" customHeight="1">
      <c r="A326" s="865">
        <v>13.3</v>
      </c>
      <c r="B326" s="854"/>
      <c r="C326" s="1191" t="s">
        <v>1739</v>
      </c>
      <c r="D326" s="865"/>
      <c r="E326" s="1120"/>
      <c r="F326" s="1120"/>
      <c r="G326" s="1120"/>
      <c r="H326" s="1120"/>
      <c r="I326" s="1120"/>
      <c r="J326" s="1132"/>
    </row>
    <row r="327" spans="1:10" s="9" customFormat="1" ht="82.5" customHeight="1">
      <c r="A327" s="865" t="s">
        <v>1741</v>
      </c>
      <c r="B327" s="854"/>
      <c r="C327" s="1191" t="s">
        <v>1740</v>
      </c>
      <c r="D327" s="865"/>
      <c r="E327" s="1120"/>
      <c r="F327" s="1120"/>
      <c r="G327" s="1120"/>
      <c r="H327" s="1120"/>
      <c r="I327" s="1120"/>
      <c r="J327" s="1132"/>
    </row>
    <row r="328" spans="1:10" s="9" customFormat="1" ht="25.5">
      <c r="A328" s="865" t="s">
        <v>1743</v>
      </c>
      <c r="B328" s="854"/>
      <c r="C328" s="1191" t="s">
        <v>1742</v>
      </c>
      <c r="D328" s="865">
        <v>6</v>
      </c>
      <c r="E328" s="1120" t="s">
        <v>64</v>
      </c>
      <c r="F328" s="1120"/>
      <c r="G328" s="1120"/>
      <c r="H328" s="1121"/>
      <c r="I328" s="1121"/>
      <c r="J328" s="1132"/>
    </row>
    <row r="329" spans="1:10" s="9" customFormat="1">
      <c r="A329" s="865"/>
      <c r="B329" s="854"/>
      <c r="C329" s="1191"/>
      <c r="D329" s="865"/>
      <c r="E329" s="1120"/>
      <c r="F329" s="1120"/>
      <c r="G329" s="1120"/>
      <c r="H329" s="1120"/>
      <c r="I329" s="1120"/>
      <c r="J329" s="1132"/>
    </row>
    <row r="330" spans="1:10" s="9" customFormat="1">
      <c r="A330" s="865">
        <v>13.4</v>
      </c>
      <c r="B330" s="854"/>
      <c r="C330" s="1191" t="s">
        <v>1744</v>
      </c>
      <c r="D330" s="865"/>
      <c r="E330" s="1120"/>
      <c r="F330" s="1120"/>
      <c r="G330" s="1120"/>
      <c r="H330" s="1120"/>
      <c r="I330" s="1120"/>
      <c r="J330" s="1132"/>
    </row>
    <row r="331" spans="1:10" s="9" customFormat="1">
      <c r="A331" s="865" t="s">
        <v>1746</v>
      </c>
      <c r="B331" s="854"/>
      <c r="C331" s="1191" t="s">
        <v>1745</v>
      </c>
      <c r="D331" s="865"/>
      <c r="E331" s="1120"/>
      <c r="F331" s="1120"/>
      <c r="G331" s="1120"/>
      <c r="H331" s="1120"/>
      <c r="I331" s="1120"/>
      <c r="J331" s="1132"/>
    </row>
    <row r="332" spans="1:10" s="9" customFormat="1" ht="25.5">
      <c r="A332" s="865" t="s">
        <v>1747</v>
      </c>
      <c r="B332" s="854"/>
      <c r="C332" s="1191" t="s">
        <v>1742</v>
      </c>
      <c r="D332" s="865">
        <v>3</v>
      </c>
      <c r="E332" s="1120" t="s">
        <v>736</v>
      </c>
      <c r="F332" s="1120"/>
      <c r="G332" s="1120"/>
      <c r="H332" s="1121"/>
      <c r="I332" s="1121"/>
      <c r="J332" s="1132"/>
    </row>
    <row r="333" spans="1:10" s="9" customFormat="1" ht="14.25">
      <c r="A333" s="865"/>
      <c r="B333" s="854"/>
      <c r="C333" s="1192"/>
      <c r="D333" s="865"/>
      <c r="E333" s="1120"/>
      <c r="F333" s="1120"/>
      <c r="G333" s="1120"/>
      <c r="H333" s="1120"/>
      <c r="I333" s="1120"/>
      <c r="J333" s="1132"/>
    </row>
    <row r="334" spans="1:10" s="9" customFormat="1" ht="68.25" customHeight="1">
      <c r="A334" s="865">
        <v>13.5</v>
      </c>
      <c r="B334" s="854"/>
      <c r="C334" s="1191" t="s">
        <v>1748</v>
      </c>
      <c r="D334" s="865"/>
      <c r="E334" s="1120"/>
      <c r="F334" s="1120"/>
      <c r="G334" s="1120"/>
      <c r="H334" s="1121"/>
      <c r="I334" s="1121"/>
      <c r="J334" s="1132"/>
    </row>
    <row r="335" spans="1:10" s="9" customFormat="1">
      <c r="A335" s="865" t="s">
        <v>1750</v>
      </c>
      <c r="B335" s="854"/>
      <c r="C335" s="1191" t="s">
        <v>1749</v>
      </c>
      <c r="D335" s="865">
        <v>6</v>
      </c>
      <c r="E335" s="1120" t="s">
        <v>64</v>
      </c>
      <c r="F335" s="1120"/>
      <c r="G335" s="1120"/>
      <c r="H335" s="1121"/>
      <c r="I335" s="1121"/>
      <c r="J335" s="1132"/>
    </row>
    <row r="336" spans="1:10" s="9" customFormat="1">
      <c r="A336" s="865"/>
      <c r="B336" s="854"/>
      <c r="C336" s="1191"/>
      <c r="D336" s="865"/>
      <c r="E336" s="1120"/>
      <c r="F336" s="1120"/>
      <c r="G336" s="1120"/>
      <c r="H336" s="1121"/>
      <c r="I336" s="1121"/>
      <c r="J336" s="1132"/>
    </row>
    <row r="337" spans="1:10" s="9" customFormat="1" ht="25.5">
      <c r="A337" s="865">
        <v>13.6</v>
      </c>
      <c r="B337" s="854"/>
      <c r="C337" s="1191" t="s">
        <v>1751</v>
      </c>
      <c r="D337" s="865"/>
      <c r="E337" s="1120"/>
      <c r="F337" s="1120"/>
      <c r="G337" s="1120"/>
      <c r="H337" s="1121"/>
      <c r="I337" s="1121"/>
      <c r="J337" s="1132"/>
    </row>
    <row r="338" spans="1:10" s="9" customFormat="1" ht="38.25">
      <c r="A338" s="865" t="s">
        <v>1753</v>
      </c>
      <c r="B338" s="854"/>
      <c r="C338" s="1191" t="s">
        <v>1752</v>
      </c>
      <c r="D338" s="865">
        <v>6</v>
      </c>
      <c r="E338" s="1120" t="s">
        <v>64</v>
      </c>
      <c r="F338" s="1120"/>
      <c r="G338" s="1120"/>
      <c r="H338" s="1121"/>
      <c r="I338" s="1121"/>
      <c r="J338" s="1132"/>
    </row>
    <row r="339" spans="1:10" s="9" customFormat="1">
      <c r="A339" s="865"/>
      <c r="B339" s="854"/>
      <c r="C339" s="1191"/>
      <c r="D339" s="865"/>
      <c r="E339" s="1120"/>
      <c r="F339" s="1120"/>
      <c r="G339" s="1120"/>
      <c r="H339" s="1121"/>
      <c r="I339" s="1121"/>
      <c r="J339" s="1132"/>
    </row>
    <row r="340" spans="1:10" s="9" customFormat="1" ht="82.5" customHeight="1">
      <c r="A340" s="865">
        <v>13.7</v>
      </c>
      <c r="B340" s="854"/>
      <c r="C340" s="1191" t="s">
        <v>1766</v>
      </c>
      <c r="D340" s="865"/>
      <c r="E340" s="1120"/>
      <c r="F340" s="1120"/>
      <c r="G340" s="1120"/>
      <c r="H340" s="1121"/>
      <c r="I340" s="1121"/>
      <c r="J340" s="1132"/>
    </row>
    <row r="341" spans="1:10" s="9" customFormat="1" ht="25.5">
      <c r="A341" s="865" t="s">
        <v>1767</v>
      </c>
      <c r="B341" s="854"/>
      <c r="C341" s="1191" t="s">
        <v>1742</v>
      </c>
      <c r="D341" s="865">
        <v>3</v>
      </c>
      <c r="E341" s="1120" t="s">
        <v>64</v>
      </c>
      <c r="F341" s="1120"/>
      <c r="G341" s="1120"/>
      <c r="H341" s="1121"/>
      <c r="I341" s="1121"/>
      <c r="J341" s="1132"/>
    </row>
    <row r="342" spans="1:10" s="9" customFormat="1">
      <c r="A342" s="865"/>
      <c r="B342" s="854"/>
      <c r="C342" s="1191"/>
      <c r="D342" s="865"/>
      <c r="E342" s="1120"/>
      <c r="F342" s="1120"/>
      <c r="G342" s="1120"/>
      <c r="H342" s="1121"/>
      <c r="I342" s="1121"/>
      <c r="J342" s="1132"/>
    </row>
    <row r="343" spans="1:10" s="9" customFormat="1" ht="63.75">
      <c r="A343" s="865">
        <v>13.8</v>
      </c>
      <c r="B343" s="854"/>
      <c r="C343" s="1191" t="s">
        <v>1754</v>
      </c>
      <c r="D343" s="865"/>
      <c r="E343" s="1120"/>
      <c r="F343" s="1120"/>
      <c r="G343" s="1120"/>
      <c r="H343" s="1121"/>
      <c r="I343" s="1121"/>
      <c r="J343" s="1132"/>
    </row>
    <row r="344" spans="1:10" s="9" customFormat="1" ht="25.5">
      <c r="A344" s="865" t="s">
        <v>1771</v>
      </c>
      <c r="B344" s="854"/>
      <c r="C344" s="1191" t="s">
        <v>1742</v>
      </c>
      <c r="D344" s="865">
        <v>1</v>
      </c>
      <c r="E344" s="1120" t="s">
        <v>64</v>
      </c>
      <c r="F344" s="1120"/>
      <c r="G344" s="1120"/>
      <c r="H344" s="1121"/>
      <c r="I344" s="1121"/>
      <c r="J344" s="1132"/>
    </row>
    <row r="345" spans="1:10" s="9" customFormat="1" ht="14.25">
      <c r="A345" s="865"/>
      <c r="B345" s="854"/>
      <c r="C345" s="1192"/>
      <c r="D345" s="865"/>
      <c r="E345" s="1120"/>
      <c r="F345" s="1120"/>
      <c r="G345" s="1120"/>
      <c r="H345" s="1120"/>
      <c r="I345" s="1120"/>
      <c r="J345" s="1132"/>
    </row>
    <row r="346" spans="1:10" s="1124" customFormat="1" ht="15">
      <c r="A346" s="865"/>
      <c r="B346" s="854"/>
      <c r="C346" s="1187" t="s">
        <v>1539</v>
      </c>
      <c r="D346" s="1145"/>
      <c r="E346" s="1156"/>
      <c r="F346" s="1120"/>
      <c r="G346" s="1120"/>
      <c r="H346" s="1138"/>
      <c r="I346" s="1138"/>
      <c r="J346" s="1130"/>
    </row>
    <row r="347" spans="1:10" s="1124" customFormat="1">
      <c r="A347" s="865"/>
      <c r="B347" s="854"/>
      <c r="C347" s="1185"/>
      <c r="D347" s="1145"/>
      <c r="E347" s="1120"/>
      <c r="F347" s="1120"/>
      <c r="G347" s="1120"/>
      <c r="H347" s="1121"/>
      <c r="I347" s="1121"/>
      <c r="J347" s="1130"/>
    </row>
    <row r="348" spans="1:10" ht="15">
      <c r="A348" s="1129">
        <v>14</v>
      </c>
      <c r="B348" s="861"/>
      <c r="C348" s="1188" t="s">
        <v>1526</v>
      </c>
      <c r="D348" s="910"/>
      <c r="E348" s="1120"/>
      <c r="F348" s="1120"/>
      <c r="G348" s="1120"/>
      <c r="H348" s="1120"/>
      <c r="I348" s="1120"/>
      <c r="J348" s="1131"/>
    </row>
    <row r="349" spans="1:10" s="9" customFormat="1" ht="247.5" customHeight="1">
      <c r="A349" s="865">
        <v>14.1</v>
      </c>
      <c r="B349" s="854"/>
      <c r="C349" s="1194" t="s">
        <v>1792</v>
      </c>
      <c r="D349" s="865"/>
      <c r="E349" s="1120"/>
      <c r="F349" s="1120"/>
      <c r="G349" s="1120"/>
      <c r="H349" s="1120"/>
      <c r="I349" s="1120"/>
      <c r="J349" s="1132"/>
    </row>
    <row r="350" spans="1:10" s="9" customFormat="1">
      <c r="A350" s="865" t="s">
        <v>1755</v>
      </c>
      <c r="B350" s="854"/>
      <c r="C350" s="1185" t="s">
        <v>1793</v>
      </c>
      <c r="D350" s="865"/>
      <c r="E350" s="1120"/>
      <c r="F350" s="1120"/>
      <c r="G350" s="1120"/>
      <c r="H350" s="1121"/>
      <c r="I350" s="1121"/>
      <c r="J350" s="1132"/>
    </row>
    <row r="351" spans="1:10" s="9" customFormat="1" ht="25.5">
      <c r="A351" s="865" t="s">
        <v>1795</v>
      </c>
      <c r="B351" s="854"/>
      <c r="C351" s="1185" t="s">
        <v>1794</v>
      </c>
      <c r="D351" s="869">
        <v>2177.6040000000003</v>
      </c>
      <c r="E351" s="1120" t="s">
        <v>1497</v>
      </c>
      <c r="F351" s="1120"/>
      <c r="G351" s="1120"/>
      <c r="H351" s="1121"/>
      <c r="I351" s="1121"/>
      <c r="J351" s="1132"/>
    </row>
    <row r="352" spans="1:10" s="9" customFormat="1">
      <c r="A352" s="865"/>
      <c r="B352" s="854"/>
      <c r="C352" s="1185"/>
      <c r="D352" s="865"/>
      <c r="E352" s="1120"/>
      <c r="F352" s="1120"/>
      <c r="G352" s="1120"/>
      <c r="H352" s="1121"/>
      <c r="I352" s="1121"/>
      <c r="J352" s="1132"/>
    </row>
    <row r="353" spans="1:10" s="9" customFormat="1">
      <c r="A353" s="865"/>
      <c r="B353" s="854"/>
      <c r="C353" s="1185"/>
      <c r="D353" s="865"/>
      <c r="E353" s="1120"/>
      <c r="F353" s="1120"/>
      <c r="G353" s="1120"/>
      <c r="H353" s="1121"/>
      <c r="I353" s="1121"/>
      <c r="J353" s="1132"/>
    </row>
    <row r="354" spans="1:10" s="1124" customFormat="1" ht="15">
      <c r="A354" s="865"/>
      <c r="B354" s="854"/>
      <c r="C354" s="1187" t="s">
        <v>1539</v>
      </c>
      <c r="D354" s="1145"/>
      <c r="E354" s="1156"/>
      <c r="F354" s="1120"/>
      <c r="G354" s="1120"/>
      <c r="H354" s="1138"/>
      <c r="I354" s="1138"/>
      <c r="J354" s="1130"/>
    </row>
    <row r="355" spans="1:10" s="1124" customFormat="1">
      <c r="A355" s="865"/>
      <c r="B355" s="854"/>
      <c r="C355" s="1185"/>
      <c r="D355" s="1145"/>
      <c r="E355" s="1120"/>
      <c r="F355" s="1120"/>
      <c r="G355" s="1120"/>
      <c r="H355" s="1121"/>
      <c r="I355" s="1121"/>
      <c r="J355" s="1130"/>
    </row>
    <row r="356" spans="1:10" ht="15">
      <c r="A356" s="1129">
        <v>15</v>
      </c>
      <c r="B356" s="861"/>
      <c r="C356" s="1188" t="s">
        <v>1756</v>
      </c>
      <c r="D356" s="910"/>
      <c r="E356" s="1120"/>
      <c r="F356" s="1120"/>
      <c r="G356" s="1120"/>
      <c r="H356" s="1120"/>
      <c r="I356" s="1120"/>
      <c r="J356" s="1131"/>
    </row>
    <row r="357" spans="1:10" s="9" customFormat="1" ht="252.75" customHeight="1">
      <c r="A357" s="865">
        <v>15.1</v>
      </c>
      <c r="B357" s="854"/>
      <c r="C357" s="1185" t="s">
        <v>1757</v>
      </c>
      <c r="D357" s="865">
        <v>320.52999999999997</v>
      </c>
      <c r="E357" s="1120" t="s">
        <v>32</v>
      </c>
      <c r="F357" s="1120"/>
      <c r="G357" s="1120"/>
      <c r="H357" s="1121"/>
      <c r="I357" s="1121"/>
      <c r="J357" s="1132"/>
    </row>
    <row r="358" spans="1:10" s="9" customFormat="1">
      <c r="A358" s="865"/>
      <c r="B358" s="854"/>
      <c r="C358" s="1185"/>
      <c r="D358" s="865"/>
      <c r="E358" s="1120"/>
      <c r="F358" s="1120"/>
      <c r="G358" s="1120"/>
      <c r="H358" s="1120"/>
      <c r="I358" s="1120"/>
      <c r="J358" s="1132"/>
    </row>
    <row r="359" spans="1:10" s="9" customFormat="1" ht="42" customHeight="1">
      <c r="A359" s="865">
        <v>15.2</v>
      </c>
      <c r="B359" s="854"/>
      <c r="C359" s="1185" t="s">
        <v>1522</v>
      </c>
      <c r="D359" s="865">
        <v>11.84</v>
      </c>
      <c r="E359" s="1120" t="s">
        <v>25</v>
      </c>
      <c r="F359" s="1120"/>
      <c r="G359" s="1120"/>
      <c r="H359" s="1121"/>
      <c r="I359" s="1121"/>
      <c r="J359" s="1132"/>
    </row>
    <row r="360" spans="1:10" s="9" customFormat="1">
      <c r="A360" s="865"/>
      <c r="B360" s="854"/>
      <c r="C360" s="1185"/>
      <c r="D360" s="865"/>
      <c r="E360" s="1120"/>
      <c r="F360" s="1120"/>
      <c r="G360" s="1120"/>
      <c r="H360" s="1120"/>
      <c r="I360" s="1120"/>
      <c r="J360" s="1132"/>
    </row>
    <row r="361" spans="1:10" s="9" customFormat="1" ht="409.5" customHeight="1">
      <c r="A361" s="865">
        <v>15.3</v>
      </c>
      <c r="B361" s="854"/>
      <c r="C361" s="1185" t="s">
        <v>1758</v>
      </c>
      <c r="D361" s="865"/>
      <c r="E361" s="1120"/>
      <c r="F361" s="1120"/>
      <c r="G361" s="1120"/>
      <c r="H361" s="1120"/>
      <c r="I361" s="1120"/>
      <c r="J361" s="1132"/>
    </row>
    <row r="362" spans="1:10" s="9" customFormat="1" ht="14.25">
      <c r="A362" s="865"/>
      <c r="B362" s="854"/>
      <c r="C362" s="1192"/>
      <c r="D362" s="865"/>
      <c r="E362" s="1120"/>
      <c r="F362" s="1120"/>
      <c r="G362" s="1120"/>
      <c r="H362" s="1120"/>
      <c r="I362" s="1120"/>
      <c r="J362" s="1132"/>
    </row>
    <row r="363" spans="1:10" s="9" customFormat="1" ht="25.5">
      <c r="A363" s="865" t="s">
        <v>1760</v>
      </c>
      <c r="B363" s="854"/>
      <c r="C363" s="1185" t="s">
        <v>1759</v>
      </c>
      <c r="D363" s="865">
        <v>1248.8399999999999</v>
      </c>
      <c r="E363" s="1207" t="s">
        <v>32</v>
      </c>
      <c r="F363" s="860"/>
      <c r="G363" s="860"/>
      <c r="H363" s="1139"/>
      <c r="I363" s="1139"/>
      <c r="J363" s="1132"/>
    </row>
    <row r="364" spans="1:10" s="9" customFormat="1">
      <c r="A364" s="865"/>
      <c r="B364" s="854"/>
      <c r="C364" s="1185"/>
      <c r="D364" s="865"/>
      <c r="E364" s="865"/>
      <c r="F364" s="860"/>
      <c r="G364" s="860"/>
      <c r="H364" s="1139"/>
      <c r="I364" s="1139"/>
      <c r="J364" s="1132"/>
    </row>
    <row r="365" spans="1:10" s="1124" customFormat="1" ht="15">
      <c r="A365" s="865"/>
      <c r="B365" s="854"/>
      <c r="C365" s="1187" t="s">
        <v>1539</v>
      </c>
      <c r="D365" s="1145"/>
      <c r="E365" s="1156"/>
      <c r="F365" s="1120"/>
      <c r="G365" s="1120"/>
      <c r="H365" s="1138"/>
      <c r="I365" s="1138"/>
      <c r="J365" s="1130"/>
    </row>
    <row r="366" spans="1:10" s="1124" customFormat="1">
      <c r="A366" s="865"/>
      <c r="B366" s="854"/>
      <c r="C366" s="1185"/>
      <c r="D366" s="1145"/>
      <c r="E366" s="1120"/>
      <c r="F366" s="1120"/>
      <c r="G366" s="1120"/>
      <c r="H366" s="1121"/>
      <c r="I366" s="1121"/>
      <c r="J366" s="1130"/>
    </row>
    <row r="367" spans="1:10">
      <c r="A367" s="910"/>
      <c r="B367" s="861"/>
      <c r="C367" s="861"/>
      <c r="D367" s="910"/>
      <c r="E367" s="861"/>
      <c r="F367" s="855"/>
      <c r="G367" s="855"/>
      <c r="H367" s="886"/>
      <c r="I367" s="886"/>
    </row>
    <row r="368" spans="1:10">
      <c r="A368" s="910"/>
      <c r="B368" s="861"/>
      <c r="C368" s="861"/>
      <c r="D368" s="910"/>
      <c r="E368" s="861"/>
      <c r="F368" s="855"/>
      <c r="G368" s="855"/>
      <c r="H368" s="886"/>
      <c r="I368" s="886"/>
    </row>
    <row r="369" spans="1:12" s="9" customFormat="1" ht="25.5">
      <c r="A369" s="865">
        <v>16</v>
      </c>
      <c r="B369" s="854"/>
      <c r="C369" s="1195" t="s">
        <v>1786</v>
      </c>
      <c r="D369" s="865"/>
      <c r="E369" s="865"/>
      <c r="F369" s="860"/>
      <c r="G369" s="860"/>
      <c r="H369" s="1139"/>
      <c r="I369" s="1139"/>
      <c r="J369" s="1133"/>
    </row>
    <row r="370" spans="1:12" s="9" customFormat="1" ht="71.25" customHeight="1">
      <c r="A370" s="1318">
        <v>16.100000000000001</v>
      </c>
      <c r="B370" s="854"/>
      <c r="C370" s="1185" t="s">
        <v>1961</v>
      </c>
      <c r="D370" s="1325">
        <v>842.68</v>
      </c>
      <c r="E370" s="1341" t="s">
        <v>32</v>
      </c>
      <c r="F370" s="1340"/>
      <c r="G370" s="1333"/>
      <c r="H370" s="1342"/>
      <c r="I370" s="1336"/>
      <c r="J370" s="1132"/>
    </row>
    <row r="371" spans="1:12" s="9" customFormat="1" ht="174" customHeight="1">
      <c r="A371" s="1318"/>
      <c r="B371" s="854"/>
      <c r="C371" s="1185" t="s">
        <v>1787</v>
      </c>
      <c r="D371" s="1339"/>
      <c r="E371" s="1318"/>
      <c r="F371" s="1340"/>
      <c r="G371" s="1334"/>
      <c r="H371" s="1342"/>
      <c r="I371" s="1337"/>
      <c r="J371" s="1132"/>
    </row>
    <row r="372" spans="1:12" s="9" customFormat="1" ht="153">
      <c r="A372" s="1318"/>
      <c r="B372" s="854"/>
      <c r="C372" s="1185" t="s">
        <v>1962</v>
      </c>
      <c r="D372" s="1339"/>
      <c r="E372" s="1318"/>
      <c r="F372" s="1340"/>
      <c r="G372" s="1334"/>
      <c r="H372" s="1342"/>
      <c r="I372" s="1337"/>
      <c r="J372" s="1132"/>
    </row>
    <row r="373" spans="1:12" s="9" customFormat="1" ht="127.5">
      <c r="A373" s="1318"/>
      <c r="B373" s="854"/>
      <c r="C373" s="1185" t="s">
        <v>1788</v>
      </c>
      <c r="D373" s="1339"/>
      <c r="E373" s="1318"/>
      <c r="F373" s="1340"/>
      <c r="G373" s="1334"/>
      <c r="H373" s="1342"/>
      <c r="I373" s="1337"/>
      <c r="J373" s="1132"/>
    </row>
    <row r="374" spans="1:12" s="9" customFormat="1" ht="83.25" customHeight="1">
      <c r="A374" s="1318"/>
      <c r="B374" s="854"/>
      <c r="C374" s="1185" t="s">
        <v>1789</v>
      </c>
      <c r="D374" s="1339"/>
      <c r="E374" s="1318"/>
      <c r="F374" s="1340"/>
      <c r="G374" s="1334"/>
      <c r="H374" s="1342"/>
      <c r="I374" s="1337"/>
      <c r="J374" s="1132"/>
    </row>
    <row r="375" spans="1:12" s="9" customFormat="1" ht="396.75" customHeight="1">
      <c r="A375" s="1318"/>
      <c r="B375" s="854"/>
      <c r="C375" s="1185" t="s">
        <v>1790</v>
      </c>
      <c r="D375" s="1326"/>
      <c r="E375" s="1318"/>
      <c r="F375" s="1340"/>
      <c r="G375" s="1335"/>
      <c r="H375" s="1342"/>
      <c r="I375" s="1338"/>
      <c r="J375" s="1132"/>
    </row>
    <row r="376" spans="1:12" s="9" customFormat="1" ht="41.25" customHeight="1">
      <c r="A376" s="1210"/>
      <c r="B376" s="854"/>
      <c r="C376" s="1187" t="s">
        <v>1539</v>
      </c>
      <c r="D376" s="1213"/>
      <c r="E376" s="1210"/>
      <c r="F376" s="1214"/>
      <c r="G376" s="1211"/>
      <c r="H376" s="1215"/>
      <c r="I376" s="1212"/>
      <c r="J376" s="1132"/>
    </row>
    <row r="377" spans="1:12" s="9" customFormat="1" ht="41.25" customHeight="1">
      <c r="A377" s="1210">
        <v>17</v>
      </c>
      <c r="B377" s="854"/>
      <c r="C377" s="1185" t="s">
        <v>1946</v>
      </c>
      <c r="D377" s="1213"/>
      <c r="E377" s="1210"/>
      <c r="F377" s="1214"/>
      <c r="G377" s="1211"/>
      <c r="H377" s="1215"/>
      <c r="I377" s="1212"/>
      <c r="J377" s="1132"/>
    </row>
    <row r="378" spans="1:12" s="9" customFormat="1" ht="244.5" customHeight="1">
      <c r="A378" s="865">
        <v>17.100000000000001</v>
      </c>
      <c r="B378" s="854"/>
      <c r="C378" s="1185" t="s">
        <v>1777</v>
      </c>
      <c r="D378" s="865">
        <v>9950</v>
      </c>
      <c r="E378" s="1207" t="s">
        <v>1497</v>
      </c>
      <c r="F378" s="860"/>
      <c r="G378" s="860"/>
      <c r="H378" s="1139"/>
      <c r="I378" s="1139"/>
      <c r="J378" s="1132"/>
    </row>
    <row r="379" spans="1:12" s="9" customFormat="1" ht="15">
      <c r="A379" s="865"/>
      <c r="B379" s="854"/>
      <c r="C379" s="1187" t="s">
        <v>1539</v>
      </c>
      <c r="D379" s="865"/>
      <c r="E379" s="865"/>
      <c r="F379" s="860"/>
      <c r="G379" s="860"/>
      <c r="H379" s="860"/>
      <c r="I379" s="860"/>
      <c r="J379" s="1132"/>
    </row>
    <row r="380" spans="1:12" s="9" customFormat="1">
      <c r="A380" s="1216"/>
      <c r="B380" s="854"/>
      <c r="C380" s="1216"/>
      <c r="D380" s="1216"/>
      <c r="E380" s="1216"/>
      <c r="F380" s="1217"/>
      <c r="G380" s="1217"/>
      <c r="H380" s="1217"/>
      <c r="I380" s="1217"/>
      <c r="J380" s="1132"/>
    </row>
    <row r="381" spans="1:12" s="9" customFormat="1">
      <c r="A381" s="910">
        <v>18</v>
      </c>
      <c r="B381" s="854"/>
      <c r="C381" s="1195" t="s">
        <v>1785</v>
      </c>
      <c r="D381" s="865"/>
      <c r="E381" s="861"/>
      <c r="F381" s="855"/>
      <c r="G381" s="855"/>
      <c r="H381" s="886"/>
      <c r="I381" s="886"/>
      <c r="J381" s="1132"/>
      <c r="L381" s="1132"/>
    </row>
    <row r="382" spans="1:12" s="9" customFormat="1">
      <c r="A382" s="910"/>
      <c r="B382" s="854"/>
      <c r="C382" s="1195" t="s">
        <v>1779</v>
      </c>
      <c r="D382" s="865"/>
      <c r="E382" s="861"/>
      <c r="F382" s="855"/>
      <c r="G382" s="855"/>
      <c r="H382" s="886"/>
      <c r="I382" s="886"/>
      <c r="J382" s="1132"/>
      <c r="L382" s="1132"/>
    </row>
    <row r="383" spans="1:12" s="9" customFormat="1" ht="102">
      <c r="A383" s="910">
        <v>18.100000000000001</v>
      </c>
      <c r="B383" s="1119"/>
      <c r="C383" s="1185" t="s">
        <v>1953</v>
      </c>
      <c r="D383" s="865">
        <v>5</v>
      </c>
      <c r="E383" s="898" t="s">
        <v>64</v>
      </c>
      <c r="F383" s="1139"/>
      <c r="G383" s="1139"/>
      <c r="H383" s="1140"/>
      <c r="I383" s="1140"/>
    </row>
    <row r="384" spans="1:12" s="9" customFormat="1" ht="178.5">
      <c r="A384" s="910">
        <v>18.2</v>
      </c>
      <c r="B384" s="1119"/>
      <c r="C384" s="1200" t="s">
        <v>1954</v>
      </c>
      <c r="D384" s="865">
        <v>166</v>
      </c>
      <c r="E384" s="910" t="s">
        <v>64</v>
      </c>
      <c r="F384" s="1141"/>
      <c r="G384" s="1141"/>
      <c r="H384" s="1140"/>
      <c r="I384" s="1140"/>
    </row>
    <row r="385" spans="1:9">
      <c r="A385" s="910"/>
      <c r="B385" s="861"/>
      <c r="C385" s="1195" t="s">
        <v>1780</v>
      </c>
      <c r="D385" s="910"/>
      <c r="E385" s="909"/>
      <c r="F385" s="1141"/>
      <c r="G385" s="1141"/>
      <c r="H385" s="1140"/>
      <c r="I385" s="1140"/>
    </row>
    <row r="386" spans="1:9" ht="376.5" customHeight="1">
      <c r="A386" s="910">
        <v>18.3</v>
      </c>
      <c r="B386" s="861"/>
      <c r="C386" s="1185" t="s">
        <v>1959</v>
      </c>
      <c r="D386" s="910">
        <v>177</v>
      </c>
      <c r="E386" s="1204" t="s">
        <v>64</v>
      </c>
      <c r="F386" s="1141"/>
      <c r="G386" s="1141"/>
      <c r="H386" s="1140"/>
      <c r="I386" s="1140"/>
    </row>
    <row r="387" spans="1:9" ht="25.5">
      <c r="A387" s="910">
        <v>18.399999999999999</v>
      </c>
      <c r="B387" s="861"/>
      <c r="C387" s="1195" t="s">
        <v>1784</v>
      </c>
      <c r="D387" s="910"/>
      <c r="E387" s="861"/>
      <c r="F387" s="1141"/>
      <c r="G387" s="1141"/>
      <c r="H387" s="1140"/>
      <c r="I387" s="1140"/>
    </row>
    <row r="388" spans="1:9" ht="306">
      <c r="A388" s="865" t="s">
        <v>1802</v>
      </c>
      <c r="B388" s="861"/>
      <c r="C388" s="1201" t="s">
        <v>1955</v>
      </c>
      <c r="D388" s="910">
        <v>177</v>
      </c>
      <c r="E388" s="865" t="s">
        <v>64</v>
      </c>
      <c r="F388" s="1141"/>
      <c r="G388" s="1141"/>
      <c r="H388" s="1140"/>
      <c r="I388" s="1140"/>
    </row>
    <row r="389" spans="1:9" ht="106.5" customHeight="1">
      <c r="A389" s="1345">
        <v>18.5</v>
      </c>
      <c r="B389" s="1205"/>
      <c r="C389" s="1206" t="s">
        <v>1956</v>
      </c>
      <c r="D389" s="1348">
        <v>34</v>
      </c>
      <c r="E389" s="1325" t="s">
        <v>64</v>
      </c>
      <c r="F389" s="1319"/>
      <c r="G389" s="1319"/>
      <c r="H389" s="1321"/>
      <c r="I389" s="1321"/>
    </row>
    <row r="390" spans="1:9" ht="103.5" customHeight="1">
      <c r="A390" s="1346"/>
      <c r="B390" s="1205"/>
      <c r="C390" s="1202" t="s">
        <v>1957</v>
      </c>
      <c r="D390" s="1349"/>
      <c r="E390" s="1326"/>
      <c r="F390" s="1320"/>
      <c r="G390" s="1320"/>
      <c r="H390" s="1322"/>
      <c r="I390" s="1322"/>
    </row>
    <row r="391" spans="1:9" ht="357">
      <c r="A391" s="910">
        <v>18.600000000000001</v>
      </c>
      <c r="B391" s="861"/>
      <c r="C391" s="1203" t="s">
        <v>1958</v>
      </c>
      <c r="D391" s="910">
        <v>177</v>
      </c>
      <c r="E391" s="1199" t="s">
        <v>64</v>
      </c>
      <c r="F391" s="1141"/>
      <c r="G391" s="1141"/>
      <c r="H391" s="1140"/>
      <c r="I391" s="1140"/>
    </row>
    <row r="392" spans="1:9" ht="125.25" customHeight="1">
      <c r="A392" s="910">
        <v>18.7</v>
      </c>
      <c r="B392" s="861"/>
      <c r="C392" s="1185" t="s">
        <v>1783</v>
      </c>
      <c r="D392" s="910">
        <v>2</v>
      </c>
      <c r="E392" s="865" t="s">
        <v>64</v>
      </c>
      <c r="F392" s="1141"/>
      <c r="G392" s="1141"/>
      <c r="H392" s="1140"/>
      <c r="I392" s="1140"/>
    </row>
    <row r="393" spans="1:9" ht="114.75" customHeight="1">
      <c r="A393" s="1325" t="s">
        <v>1803</v>
      </c>
      <c r="B393" s="861"/>
      <c r="C393" s="1343" t="s">
        <v>1781</v>
      </c>
      <c r="D393" s="1345">
        <v>109.02</v>
      </c>
      <c r="E393" s="1347" t="s">
        <v>32</v>
      </c>
      <c r="F393" s="1319"/>
      <c r="G393" s="1319"/>
      <c r="H393" s="1321"/>
      <c r="I393" s="1321"/>
    </row>
    <row r="394" spans="1:9" ht="62.25" customHeight="1">
      <c r="A394" s="1326"/>
      <c r="B394" s="861"/>
      <c r="C394" s="1344"/>
      <c r="D394" s="1346"/>
      <c r="E394" s="1326"/>
      <c r="F394" s="1320"/>
      <c r="G394" s="1320"/>
      <c r="H394" s="1322"/>
      <c r="I394" s="1322"/>
    </row>
    <row r="395" spans="1:9" ht="25.5">
      <c r="A395" s="910">
        <v>18.899999999999999</v>
      </c>
      <c r="B395" s="861"/>
      <c r="C395" s="1185" t="s">
        <v>1782</v>
      </c>
      <c r="D395" s="910">
        <v>274</v>
      </c>
      <c r="E395" s="1207" t="s">
        <v>64</v>
      </c>
      <c r="F395" s="1141"/>
      <c r="G395" s="1141"/>
      <c r="H395" s="1140"/>
      <c r="I395" s="1140"/>
    </row>
    <row r="396" spans="1:9">
      <c r="A396" s="910"/>
      <c r="B396" s="861"/>
      <c r="C396" s="1185"/>
      <c r="D396" s="909"/>
      <c r="E396" s="865"/>
      <c r="F396" s="1141"/>
      <c r="G396" s="1141"/>
      <c r="H396" s="1142"/>
      <c r="I396" s="1142"/>
    </row>
    <row r="397" spans="1:9" ht="15" customHeight="1">
      <c r="A397" s="1332" t="s">
        <v>1826</v>
      </c>
      <c r="B397" s="1332"/>
      <c r="C397" s="1332"/>
      <c r="D397" s="1332"/>
      <c r="E397" s="1332"/>
      <c r="F397" s="1332"/>
      <c r="G397" s="1332"/>
      <c r="H397" s="1332"/>
      <c r="I397" s="1332"/>
    </row>
    <row r="398" spans="1:9" ht="15">
      <c r="A398" s="1162">
        <v>19</v>
      </c>
      <c r="B398" s="861"/>
      <c r="C398" s="1163" t="s">
        <v>1827</v>
      </c>
      <c r="D398" s="1161"/>
      <c r="E398" s="1161"/>
      <c r="F398" s="855"/>
      <c r="G398" s="855"/>
      <c r="H398" s="886"/>
      <c r="I398" s="886"/>
    </row>
    <row r="399" spans="1:9" ht="178.5">
      <c r="A399" s="1164">
        <v>1</v>
      </c>
      <c r="B399" s="861"/>
      <c r="C399" s="1165" t="s">
        <v>1828</v>
      </c>
      <c r="D399" s="423"/>
      <c r="E399" s="423"/>
      <c r="F399" s="854"/>
      <c r="G399" s="854"/>
      <c r="H399" s="861"/>
      <c r="I399" s="861"/>
    </row>
    <row r="400" spans="1:9">
      <c r="A400" s="1164" t="s">
        <v>475</v>
      </c>
      <c r="B400" s="861"/>
      <c r="C400" s="1165" t="s">
        <v>1829</v>
      </c>
      <c r="D400" s="423">
        <v>250</v>
      </c>
      <c r="E400" s="1208" t="s">
        <v>64</v>
      </c>
      <c r="F400" s="854"/>
      <c r="G400" s="854"/>
      <c r="H400" s="861"/>
      <c r="I400" s="861"/>
    </row>
    <row r="401" spans="1:9">
      <c r="A401" s="1164" t="s">
        <v>476</v>
      </c>
      <c r="B401" s="861"/>
      <c r="C401" s="1165" t="s">
        <v>1830</v>
      </c>
      <c r="D401" s="423">
        <v>250</v>
      </c>
      <c r="E401" s="1208" t="s">
        <v>64</v>
      </c>
      <c r="F401" s="854"/>
      <c r="G401" s="854"/>
      <c r="H401" s="861"/>
      <c r="I401" s="861"/>
    </row>
    <row r="402" spans="1:9">
      <c r="A402" s="1164" t="s">
        <v>477</v>
      </c>
      <c r="B402" s="861"/>
      <c r="C402" s="1165" t="s">
        <v>1831</v>
      </c>
      <c r="D402" s="423">
        <v>397</v>
      </c>
      <c r="E402" s="1208" t="s">
        <v>64</v>
      </c>
      <c r="F402" s="854"/>
      <c r="G402" s="854"/>
      <c r="H402" s="861"/>
      <c r="I402" s="861"/>
    </row>
    <row r="403" spans="1:9">
      <c r="A403" s="1166"/>
      <c r="B403" s="861"/>
      <c r="C403" s="854"/>
      <c r="D403" s="854"/>
      <c r="E403" s="854"/>
      <c r="F403" s="854"/>
      <c r="G403" s="854"/>
      <c r="H403" s="861"/>
      <c r="I403" s="861"/>
    </row>
    <row r="404" spans="1:9" ht="25.5">
      <c r="A404" s="1167">
        <v>2</v>
      </c>
      <c r="B404" s="861"/>
      <c r="C404" s="1168" t="s">
        <v>1832</v>
      </c>
      <c r="D404" s="423">
        <v>155</v>
      </c>
      <c r="E404" s="1208" t="s">
        <v>64</v>
      </c>
      <c r="F404" s="854"/>
      <c r="G404" s="854"/>
      <c r="H404" s="861"/>
      <c r="I404" s="861"/>
    </row>
    <row r="405" spans="1:9">
      <c r="A405" s="1167"/>
      <c r="B405" s="861"/>
      <c r="C405" s="1168"/>
      <c r="D405" s="423"/>
      <c r="E405" s="423"/>
      <c r="F405" s="854"/>
      <c r="G405" s="854"/>
      <c r="H405" s="861"/>
      <c r="I405" s="861"/>
    </row>
    <row r="406" spans="1:9" ht="63.75">
      <c r="A406" s="1167">
        <v>3</v>
      </c>
      <c r="B406" s="861"/>
      <c r="C406" s="1168" t="s">
        <v>1833</v>
      </c>
      <c r="D406" s="423">
        <v>373</v>
      </c>
      <c r="E406" s="1208" t="s">
        <v>64</v>
      </c>
      <c r="F406" s="854"/>
      <c r="G406" s="854"/>
      <c r="H406" s="861"/>
      <c r="I406" s="861"/>
    </row>
    <row r="407" spans="1:9">
      <c r="A407" s="1167"/>
      <c r="B407" s="861"/>
      <c r="C407" s="1168"/>
      <c r="D407" s="423"/>
      <c r="E407" s="423"/>
      <c r="F407" s="854"/>
      <c r="G407" s="854"/>
      <c r="H407" s="861"/>
      <c r="I407" s="861"/>
    </row>
    <row r="408" spans="1:9" ht="63.75">
      <c r="A408" s="1167">
        <v>4</v>
      </c>
      <c r="B408" s="861"/>
      <c r="C408" s="1168" t="s">
        <v>1834</v>
      </c>
      <c r="D408" s="423">
        <v>20</v>
      </c>
      <c r="E408" s="1208" t="s">
        <v>64</v>
      </c>
      <c r="F408" s="854"/>
      <c r="G408" s="854"/>
      <c r="H408" s="861"/>
      <c r="I408" s="861"/>
    </row>
    <row r="409" spans="1:9">
      <c r="A409" s="1167"/>
      <c r="B409" s="861"/>
      <c r="C409" s="1168"/>
      <c r="D409" s="423"/>
      <c r="E409" s="423"/>
      <c r="F409" s="854"/>
      <c r="G409" s="854"/>
      <c r="H409" s="861"/>
      <c r="I409" s="861"/>
    </row>
    <row r="410" spans="1:9">
      <c r="A410" s="1167">
        <v>5</v>
      </c>
      <c r="B410" s="861"/>
      <c r="C410" s="1168" t="s">
        <v>1835</v>
      </c>
      <c r="D410" s="423"/>
      <c r="E410" s="423"/>
      <c r="F410" s="854"/>
      <c r="G410" s="854"/>
      <c r="H410" s="861"/>
      <c r="I410" s="861"/>
    </row>
    <row r="411" spans="1:9" ht="25.5">
      <c r="A411" s="1167"/>
      <c r="B411" s="861"/>
      <c r="C411" s="1168" t="s">
        <v>1836</v>
      </c>
      <c r="D411" s="423">
        <v>176</v>
      </c>
      <c r="E411" s="1208" t="s">
        <v>64</v>
      </c>
      <c r="F411" s="854"/>
      <c r="G411" s="854"/>
      <c r="H411" s="861"/>
      <c r="I411" s="861"/>
    </row>
    <row r="412" spans="1:9">
      <c r="A412" s="1167"/>
      <c r="B412" s="861"/>
      <c r="C412" s="1168"/>
      <c r="D412" s="423"/>
      <c r="E412" s="423"/>
      <c r="F412" s="854"/>
      <c r="G412" s="854"/>
      <c r="H412" s="861"/>
      <c r="I412" s="861"/>
    </row>
    <row r="413" spans="1:9" ht="25.5">
      <c r="A413" s="1167">
        <v>6</v>
      </c>
      <c r="B413" s="861"/>
      <c r="C413" s="1168" t="s">
        <v>1837</v>
      </c>
      <c r="D413" s="854"/>
      <c r="E413" s="854"/>
      <c r="F413" s="854"/>
      <c r="G413" s="854"/>
      <c r="H413" s="861"/>
      <c r="I413" s="861"/>
    </row>
    <row r="414" spans="1:9">
      <c r="A414" s="1167"/>
      <c r="B414" s="861"/>
      <c r="C414" s="1168"/>
      <c r="D414" s="423"/>
      <c r="E414" s="423"/>
      <c r="F414" s="854"/>
      <c r="G414" s="854"/>
      <c r="H414" s="861"/>
      <c r="I414" s="861"/>
    </row>
    <row r="415" spans="1:9">
      <c r="A415" s="1167" t="s">
        <v>479</v>
      </c>
      <c r="B415" s="861"/>
      <c r="C415" s="1168" t="s">
        <v>1838</v>
      </c>
      <c r="D415" s="423">
        <v>1</v>
      </c>
      <c r="E415" s="1208" t="s">
        <v>64</v>
      </c>
      <c r="F415" s="854"/>
      <c r="G415" s="854"/>
      <c r="H415" s="861"/>
      <c r="I415" s="861"/>
    </row>
    <row r="416" spans="1:9" ht="16.5" customHeight="1">
      <c r="A416" s="1167"/>
      <c r="B416" s="861"/>
      <c r="C416" s="1168"/>
      <c r="D416" s="423"/>
      <c r="E416" s="423"/>
      <c r="F416" s="854"/>
      <c r="G416" s="854"/>
      <c r="H416" s="861"/>
      <c r="I416" s="861"/>
    </row>
    <row r="417" spans="1:9">
      <c r="A417" s="1167" t="s">
        <v>480</v>
      </c>
      <c r="B417" s="861"/>
      <c r="C417" s="1168" t="s">
        <v>1839</v>
      </c>
      <c r="D417" s="423">
        <v>1</v>
      </c>
      <c r="E417" s="1208" t="s">
        <v>64</v>
      </c>
      <c r="F417" s="854"/>
      <c r="G417" s="854"/>
      <c r="H417" s="861"/>
      <c r="I417" s="861"/>
    </row>
    <row r="418" spans="1:9">
      <c r="A418" s="1167"/>
      <c r="B418" s="861"/>
      <c r="C418" s="1168"/>
      <c r="D418" s="423"/>
      <c r="E418" s="423"/>
      <c r="F418" s="854"/>
      <c r="G418" s="854"/>
      <c r="H418" s="861"/>
      <c r="I418" s="861"/>
    </row>
    <row r="419" spans="1:9">
      <c r="A419" s="1167" t="s">
        <v>1840</v>
      </c>
      <c r="B419" s="861"/>
      <c r="C419" s="1168" t="s">
        <v>1841</v>
      </c>
      <c r="D419" s="423">
        <v>1</v>
      </c>
      <c r="E419" s="1208" t="s">
        <v>64</v>
      </c>
      <c r="F419" s="854"/>
      <c r="G419" s="854"/>
      <c r="H419" s="861"/>
      <c r="I419" s="861"/>
    </row>
    <row r="420" spans="1:9">
      <c r="A420" s="1167"/>
      <c r="B420" s="861"/>
      <c r="C420" s="1168"/>
      <c r="D420" s="423"/>
      <c r="E420" s="423"/>
      <c r="F420" s="854"/>
      <c r="G420" s="854"/>
      <c r="H420" s="861"/>
      <c r="I420" s="861"/>
    </row>
    <row r="421" spans="1:9">
      <c r="A421" s="1167"/>
      <c r="B421" s="861"/>
      <c r="C421" s="1168"/>
      <c r="D421" s="423"/>
      <c r="E421" s="423"/>
      <c r="F421" s="854"/>
      <c r="G421" s="854"/>
      <c r="H421" s="861"/>
      <c r="I421" s="861"/>
    </row>
    <row r="422" spans="1:9" ht="63.75">
      <c r="A422" s="1167">
        <v>7</v>
      </c>
      <c r="B422" s="861"/>
      <c r="C422" s="1168" t="s">
        <v>1842</v>
      </c>
      <c r="D422" s="854"/>
      <c r="E422" s="854"/>
      <c r="F422" s="854"/>
      <c r="G422" s="854"/>
      <c r="H422" s="861"/>
      <c r="I422" s="861"/>
    </row>
    <row r="423" spans="1:9">
      <c r="A423" s="1167"/>
      <c r="B423" s="861"/>
      <c r="C423" s="1168"/>
      <c r="D423" s="854"/>
      <c r="E423" s="854"/>
      <c r="F423" s="854"/>
      <c r="G423" s="854"/>
      <c r="H423" s="861"/>
      <c r="I423" s="861"/>
    </row>
    <row r="424" spans="1:9">
      <c r="A424" s="1169" t="s">
        <v>475</v>
      </c>
      <c r="B424" s="861"/>
      <c r="C424" s="1168" t="s">
        <v>1843</v>
      </c>
      <c r="D424" s="423">
        <v>30</v>
      </c>
      <c r="E424" s="1208" t="s">
        <v>64</v>
      </c>
      <c r="F424" s="854"/>
      <c r="G424" s="854"/>
      <c r="H424" s="861"/>
      <c r="I424" s="861"/>
    </row>
    <row r="425" spans="1:9">
      <c r="A425" s="1169"/>
      <c r="B425" s="861"/>
      <c r="C425" s="1168"/>
      <c r="D425" s="854"/>
      <c r="E425" s="854"/>
      <c r="F425" s="854"/>
      <c r="G425" s="854"/>
      <c r="H425" s="861"/>
      <c r="I425" s="861"/>
    </row>
    <row r="426" spans="1:9">
      <c r="A426" s="1169" t="s">
        <v>476</v>
      </c>
      <c r="B426" s="861"/>
      <c r="C426" s="1168" t="s">
        <v>1844</v>
      </c>
      <c r="D426" s="423">
        <v>30</v>
      </c>
      <c r="E426" s="1208" t="s">
        <v>64</v>
      </c>
      <c r="F426" s="854"/>
      <c r="G426" s="854"/>
      <c r="H426" s="861"/>
      <c r="I426" s="861"/>
    </row>
    <row r="427" spans="1:9">
      <c r="A427" s="1169"/>
      <c r="B427" s="861"/>
      <c r="C427" s="1168"/>
      <c r="D427" s="854"/>
      <c r="E427" s="854"/>
      <c r="F427" s="854"/>
      <c r="G427" s="854"/>
      <c r="H427" s="861"/>
      <c r="I427" s="861"/>
    </row>
    <row r="428" spans="1:9" ht="102">
      <c r="A428" s="1167">
        <v>8</v>
      </c>
      <c r="B428" s="861"/>
      <c r="C428" s="1170" t="s">
        <v>1845</v>
      </c>
      <c r="D428" s="423"/>
      <c r="E428" s="423"/>
      <c r="F428" s="854"/>
      <c r="G428" s="854"/>
      <c r="H428" s="861"/>
      <c r="I428" s="861"/>
    </row>
    <row r="429" spans="1:9">
      <c r="A429" s="1167"/>
      <c r="B429" s="861"/>
      <c r="C429" s="854"/>
      <c r="D429" s="854"/>
      <c r="E429" s="854"/>
      <c r="F429" s="854"/>
      <c r="G429" s="854"/>
      <c r="H429" s="861"/>
      <c r="I429" s="861"/>
    </row>
    <row r="430" spans="1:9">
      <c r="A430" s="1167" t="s">
        <v>475</v>
      </c>
      <c r="B430" s="861"/>
      <c r="C430" s="854" t="s">
        <v>1846</v>
      </c>
      <c r="D430" s="849">
        <v>1390</v>
      </c>
      <c r="E430" s="1209" t="s">
        <v>736</v>
      </c>
      <c r="F430" s="854"/>
      <c r="G430" s="854"/>
      <c r="H430" s="861"/>
      <c r="I430" s="861"/>
    </row>
    <row r="431" spans="1:9">
      <c r="A431" s="1167"/>
      <c r="B431" s="861"/>
      <c r="C431" s="854"/>
      <c r="D431" s="854"/>
      <c r="E431" s="854"/>
      <c r="F431" s="854"/>
      <c r="G431" s="854"/>
      <c r="H431" s="861"/>
      <c r="I431" s="861"/>
    </row>
    <row r="432" spans="1:9">
      <c r="A432" s="1167" t="s">
        <v>476</v>
      </c>
      <c r="B432" s="861"/>
      <c r="C432" s="854" t="s">
        <v>1847</v>
      </c>
      <c r="D432" s="849">
        <v>1120</v>
      </c>
      <c r="E432" s="1209" t="s">
        <v>736</v>
      </c>
      <c r="F432" s="854"/>
      <c r="G432" s="854"/>
      <c r="H432" s="861"/>
      <c r="I432" s="861"/>
    </row>
    <row r="433" spans="1:9">
      <c r="A433" s="1167"/>
      <c r="B433" s="861"/>
      <c r="C433" s="854"/>
      <c r="D433" s="854"/>
      <c r="E433" s="854"/>
      <c r="F433" s="854"/>
      <c r="G433" s="854"/>
      <c r="H433" s="861"/>
      <c r="I433" s="861"/>
    </row>
    <row r="434" spans="1:9">
      <c r="A434" s="1167" t="s">
        <v>477</v>
      </c>
      <c r="B434" s="861"/>
      <c r="C434" s="854" t="s">
        <v>1848</v>
      </c>
      <c r="D434" s="849">
        <v>420</v>
      </c>
      <c r="E434" s="1209" t="s">
        <v>736</v>
      </c>
      <c r="F434" s="854"/>
      <c r="G434" s="854"/>
      <c r="H434" s="861"/>
      <c r="I434" s="861"/>
    </row>
    <row r="435" spans="1:9">
      <c r="A435" s="1167"/>
      <c r="B435" s="861"/>
      <c r="C435" s="854"/>
      <c r="D435" s="854"/>
      <c r="E435" s="854"/>
      <c r="F435" s="854"/>
      <c r="G435" s="854"/>
      <c r="H435" s="861"/>
      <c r="I435" s="861"/>
    </row>
    <row r="436" spans="1:9">
      <c r="A436" s="1167" t="s">
        <v>478</v>
      </c>
      <c r="B436" s="861"/>
      <c r="C436" s="854" t="s">
        <v>1849</v>
      </c>
      <c r="D436" s="849">
        <v>280</v>
      </c>
      <c r="E436" s="1209" t="s">
        <v>736</v>
      </c>
      <c r="F436" s="854"/>
      <c r="G436" s="854"/>
      <c r="H436" s="861"/>
      <c r="I436" s="861"/>
    </row>
    <row r="437" spans="1:9">
      <c r="A437" s="1167"/>
      <c r="B437" s="861"/>
      <c r="C437" s="854"/>
      <c r="D437" s="854"/>
      <c r="E437" s="854"/>
      <c r="F437" s="854"/>
      <c r="G437" s="854"/>
      <c r="H437" s="861"/>
      <c r="I437" s="861"/>
    </row>
    <row r="438" spans="1:9">
      <c r="A438" s="1167" t="s">
        <v>479</v>
      </c>
      <c r="B438" s="861"/>
      <c r="C438" s="854" t="s">
        <v>1850</v>
      </c>
      <c r="D438" s="849">
        <v>280</v>
      </c>
      <c r="E438" s="1209" t="s">
        <v>736</v>
      </c>
      <c r="F438" s="854"/>
      <c r="G438" s="854"/>
      <c r="H438" s="861"/>
      <c r="I438" s="861"/>
    </row>
    <row r="439" spans="1:9">
      <c r="A439" s="1167"/>
      <c r="B439" s="861"/>
      <c r="C439" s="854"/>
      <c r="D439" s="854"/>
      <c r="E439" s="854"/>
      <c r="F439" s="854"/>
      <c r="G439" s="854"/>
      <c r="H439" s="861"/>
      <c r="I439" s="861"/>
    </row>
    <row r="440" spans="1:9">
      <c r="A440" s="1167" t="s">
        <v>480</v>
      </c>
      <c r="B440" s="861"/>
      <c r="C440" s="854" t="s">
        <v>1851</v>
      </c>
      <c r="D440" s="849">
        <v>168</v>
      </c>
      <c r="E440" s="1209" t="s">
        <v>736</v>
      </c>
      <c r="F440" s="854"/>
      <c r="G440" s="854"/>
      <c r="H440" s="861"/>
      <c r="I440" s="861"/>
    </row>
    <row r="441" spans="1:9">
      <c r="A441" s="1167"/>
      <c r="B441" s="861"/>
      <c r="C441" s="854"/>
      <c r="D441" s="854"/>
      <c r="E441" s="854"/>
      <c r="F441" s="854"/>
      <c r="G441" s="854"/>
      <c r="H441" s="861"/>
      <c r="I441" s="861"/>
    </row>
    <row r="442" spans="1:9" ht="15">
      <c r="A442" s="1171"/>
      <c r="B442" s="861"/>
      <c r="C442" s="1172" t="s">
        <v>1852</v>
      </c>
      <c r="D442" s="1173"/>
      <c r="E442" s="1173"/>
      <c r="F442" s="854"/>
      <c r="G442" s="854"/>
      <c r="H442" s="861"/>
      <c r="I442" s="861"/>
    </row>
    <row r="443" spans="1:9" ht="15">
      <c r="A443" s="1162">
        <v>20</v>
      </c>
      <c r="B443" s="861"/>
      <c r="C443" s="1174" t="s">
        <v>1853</v>
      </c>
      <c r="D443" s="1175"/>
      <c r="E443" s="1175"/>
      <c r="F443" s="854"/>
      <c r="G443" s="854"/>
      <c r="H443" s="861"/>
      <c r="I443" s="861"/>
    </row>
    <row r="444" spans="1:9">
      <c r="A444" s="1176" t="s">
        <v>475</v>
      </c>
      <c r="B444" s="861"/>
      <c r="C444" s="1165" t="s">
        <v>1854</v>
      </c>
      <c r="D444" s="849">
        <v>280</v>
      </c>
      <c r="E444" s="1209" t="s">
        <v>736</v>
      </c>
      <c r="F444" s="854"/>
      <c r="G444" s="854"/>
      <c r="H444" s="861"/>
      <c r="I444" s="861"/>
    </row>
    <row r="445" spans="1:9">
      <c r="A445" s="1176" t="s">
        <v>476</v>
      </c>
      <c r="B445" s="861"/>
      <c r="C445" s="1165" t="s">
        <v>1855</v>
      </c>
      <c r="D445" s="849">
        <v>140</v>
      </c>
      <c r="E445" s="1209" t="s">
        <v>736</v>
      </c>
      <c r="F445" s="854"/>
      <c r="G445" s="854"/>
      <c r="H445" s="861"/>
      <c r="I445" s="861"/>
    </row>
    <row r="446" spans="1:9">
      <c r="A446" s="1176" t="s">
        <v>478</v>
      </c>
      <c r="B446" s="861"/>
      <c r="C446" s="1165" t="s">
        <v>1856</v>
      </c>
      <c r="D446" s="849">
        <v>45</v>
      </c>
      <c r="E446" s="1209" t="s">
        <v>736</v>
      </c>
      <c r="F446" s="854"/>
      <c r="G446" s="854"/>
      <c r="H446" s="861"/>
      <c r="I446" s="861"/>
    </row>
    <row r="447" spans="1:9">
      <c r="A447" s="1176" t="s">
        <v>480</v>
      </c>
      <c r="B447" s="861"/>
      <c r="C447" s="1165" t="s">
        <v>1857</v>
      </c>
      <c r="D447" s="849">
        <v>35</v>
      </c>
      <c r="E447" s="1209" t="s">
        <v>736</v>
      </c>
      <c r="F447" s="854"/>
      <c r="G447" s="854"/>
      <c r="H447" s="861"/>
      <c r="I447" s="861"/>
    </row>
    <row r="448" spans="1:9">
      <c r="A448" s="1176" t="s">
        <v>1840</v>
      </c>
      <c r="B448" s="861"/>
      <c r="C448" s="1165" t="s">
        <v>1858</v>
      </c>
      <c r="D448" s="849">
        <v>210</v>
      </c>
      <c r="E448" s="1209" t="s">
        <v>736</v>
      </c>
      <c r="F448" s="854"/>
      <c r="G448" s="854"/>
      <c r="H448" s="861"/>
      <c r="I448" s="861"/>
    </row>
    <row r="449" spans="1:9">
      <c r="A449" s="1176" t="s">
        <v>467</v>
      </c>
      <c r="B449" s="861"/>
      <c r="C449" s="1165" t="s">
        <v>1859</v>
      </c>
      <c r="D449" s="849">
        <v>170</v>
      </c>
      <c r="E449" s="1209" t="s">
        <v>736</v>
      </c>
      <c r="F449" s="854"/>
      <c r="G449" s="854"/>
      <c r="H449" s="861"/>
      <c r="I449" s="861"/>
    </row>
    <row r="450" spans="1:9">
      <c r="A450" s="1177"/>
      <c r="B450" s="861"/>
      <c r="C450" s="1165"/>
      <c r="D450" s="849"/>
      <c r="E450" s="849"/>
      <c r="F450" s="854"/>
      <c r="G450" s="854"/>
      <c r="H450" s="861"/>
      <c r="I450" s="861"/>
    </row>
    <row r="451" spans="1:9">
      <c r="A451" s="1177">
        <v>2</v>
      </c>
      <c r="B451" s="861"/>
      <c r="C451" s="1165" t="s">
        <v>1860</v>
      </c>
      <c r="D451" s="849"/>
      <c r="E451" s="849"/>
      <c r="F451" s="854"/>
      <c r="G451" s="854"/>
      <c r="H451" s="861"/>
      <c r="I451" s="861"/>
    </row>
    <row r="452" spans="1:9">
      <c r="A452" s="1177"/>
      <c r="B452" s="861"/>
      <c r="C452" s="1178"/>
      <c r="D452" s="849"/>
      <c r="E452" s="849"/>
      <c r="F452" s="854"/>
      <c r="G452" s="854"/>
      <c r="H452" s="861"/>
      <c r="I452" s="861"/>
    </row>
    <row r="453" spans="1:9">
      <c r="A453" s="1177" t="s">
        <v>475</v>
      </c>
      <c r="B453" s="861"/>
      <c r="C453" s="1165" t="s">
        <v>1861</v>
      </c>
      <c r="D453" s="849">
        <v>330</v>
      </c>
      <c r="E453" s="1209" t="s">
        <v>736</v>
      </c>
      <c r="F453" s="854"/>
      <c r="G453" s="854"/>
      <c r="H453" s="861"/>
      <c r="I453" s="861"/>
    </row>
    <row r="454" spans="1:9">
      <c r="A454" s="1177"/>
      <c r="B454" s="861"/>
      <c r="C454" s="1178"/>
      <c r="D454" s="849"/>
      <c r="E454" s="849"/>
      <c r="F454" s="854"/>
      <c r="G454" s="854"/>
      <c r="H454" s="861"/>
      <c r="I454" s="861"/>
    </row>
    <row r="455" spans="1:9" ht="38.25">
      <c r="A455" s="1177" t="s">
        <v>476</v>
      </c>
      <c r="B455" s="861"/>
      <c r="C455" s="1165" t="s">
        <v>1862</v>
      </c>
      <c r="D455" s="849">
        <v>30</v>
      </c>
      <c r="E455" s="1209" t="s">
        <v>736</v>
      </c>
      <c r="F455" s="854"/>
      <c r="G455" s="854"/>
      <c r="H455" s="861"/>
      <c r="I455" s="861"/>
    </row>
    <row r="456" spans="1:9">
      <c r="A456" s="1177"/>
      <c r="B456" s="861"/>
      <c r="C456" s="1178"/>
      <c r="D456" s="849"/>
      <c r="E456" s="849"/>
      <c r="F456" s="854"/>
      <c r="G456" s="854"/>
      <c r="H456" s="861"/>
      <c r="I456" s="861"/>
    </row>
    <row r="457" spans="1:9" ht="51">
      <c r="A457" s="1177" t="s">
        <v>477</v>
      </c>
      <c r="B457" s="861"/>
      <c r="C457" s="1165" t="s">
        <v>1863</v>
      </c>
      <c r="D457" s="849">
        <v>15</v>
      </c>
      <c r="E457" s="1209" t="s">
        <v>736</v>
      </c>
      <c r="F457" s="854"/>
      <c r="G457" s="854"/>
      <c r="H457" s="861"/>
      <c r="I457" s="861"/>
    </row>
    <row r="458" spans="1:9">
      <c r="A458" s="1177"/>
      <c r="B458" s="861"/>
      <c r="C458" s="1178"/>
      <c r="D458" s="849"/>
      <c r="E458" s="849"/>
      <c r="F458" s="854"/>
      <c r="G458" s="854"/>
      <c r="H458" s="861"/>
      <c r="I458" s="861"/>
    </row>
    <row r="459" spans="1:9" ht="51">
      <c r="A459" s="1177" t="s">
        <v>478</v>
      </c>
      <c r="B459" s="861"/>
      <c r="C459" s="1165" t="s">
        <v>1864</v>
      </c>
      <c r="D459" s="849">
        <v>90</v>
      </c>
      <c r="E459" s="1209" t="s">
        <v>736</v>
      </c>
      <c r="F459" s="854"/>
      <c r="G459" s="854"/>
      <c r="H459" s="861"/>
      <c r="I459" s="861"/>
    </row>
    <row r="460" spans="1:9">
      <c r="A460" s="1177"/>
      <c r="B460" s="861"/>
      <c r="C460" s="1178"/>
      <c r="D460" s="849"/>
      <c r="E460" s="849"/>
      <c r="F460" s="854"/>
      <c r="G460" s="854"/>
      <c r="H460" s="861"/>
      <c r="I460" s="861"/>
    </row>
    <row r="461" spans="1:9">
      <c r="A461" s="1177"/>
      <c r="B461" s="861"/>
      <c r="C461" s="1178"/>
      <c r="D461" s="849"/>
      <c r="E461" s="849"/>
      <c r="F461" s="854"/>
      <c r="G461" s="854"/>
      <c r="H461" s="861"/>
      <c r="I461" s="861"/>
    </row>
    <row r="462" spans="1:9" ht="63.75">
      <c r="A462" s="1148">
        <v>3</v>
      </c>
      <c r="B462" s="861"/>
      <c r="C462" s="1165" t="s">
        <v>1865</v>
      </c>
      <c r="D462" s="849"/>
      <c r="E462" s="849"/>
      <c r="F462" s="854"/>
      <c r="G462" s="854"/>
      <c r="H462" s="861"/>
      <c r="I462" s="861"/>
    </row>
    <row r="463" spans="1:9">
      <c r="A463" s="1177"/>
      <c r="B463" s="861"/>
      <c r="C463" s="1165"/>
      <c r="D463" s="849"/>
      <c r="E463" s="849"/>
      <c r="F463" s="854"/>
      <c r="G463" s="854"/>
      <c r="H463" s="861"/>
      <c r="I463" s="861"/>
    </row>
    <row r="464" spans="1:9">
      <c r="A464" s="1176" t="s">
        <v>475</v>
      </c>
      <c r="B464" s="861"/>
      <c r="C464" s="1165" t="s">
        <v>1854</v>
      </c>
      <c r="D464" s="849">
        <v>10</v>
      </c>
      <c r="E464" s="849" t="s">
        <v>64</v>
      </c>
      <c r="F464" s="854"/>
      <c r="G464" s="854"/>
      <c r="H464" s="861"/>
      <c r="I464" s="861"/>
    </row>
    <row r="465" spans="1:9">
      <c r="A465" s="1176" t="s">
        <v>476</v>
      </c>
      <c r="B465" s="861"/>
      <c r="C465" s="1165" t="s">
        <v>1855</v>
      </c>
      <c r="D465" s="849">
        <v>24</v>
      </c>
      <c r="E465" s="849" t="s">
        <v>64</v>
      </c>
      <c r="F465" s="854"/>
      <c r="G465" s="854"/>
      <c r="H465" s="861"/>
      <c r="I465" s="861"/>
    </row>
    <row r="466" spans="1:9">
      <c r="A466" s="1176" t="s">
        <v>478</v>
      </c>
      <c r="B466" s="861"/>
      <c r="C466" s="1165" t="s">
        <v>1856</v>
      </c>
      <c r="D466" s="849">
        <v>4</v>
      </c>
      <c r="E466" s="849" t="s">
        <v>64</v>
      </c>
      <c r="F466" s="854"/>
      <c r="G466" s="854"/>
      <c r="H466" s="861"/>
      <c r="I466" s="861"/>
    </row>
    <row r="467" spans="1:9">
      <c r="A467" s="1176" t="s">
        <v>480</v>
      </c>
      <c r="B467" s="861"/>
      <c r="C467" s="1165" t="s">
        <v>1857</v>
      </c>
      <c r="D467" s="849">
        <v>6</v>
      </c>
      <c r="E467" s="849" t="s">
        <v>64</v>
      </c>
      <c r="F467" s="854"/>
      <c r="G467" s="854"/>
      <c r="H467" s="861"/>
      <c r="I467" s="861"/>
    </row>
    <row r="468" spans="1:9">
      <c r="A468" s="1176" t="s">
        <v>1840</v>
      </c>
      <c r="B468" s="861"/>
      <c r="C468" s="1165" t="s">
        <v>1858</v>
      </c>
      <c r="D468" s="849">
        <v>24</v>
      </c>
      <c r="E468" s="849" t="s">
        <v>64</v>
      </c>
      <c r="F468" s="854"/>
      <c r="G468" s="854"/>
      <c r="H468" s="861"/>
      <c r="I468" s="861"/>
    </row>
    <row r="469" spans="1:9">
      <c r="A469" s="1176" t="s">
        <v>467</v>
      </c>
      <c r="B469" s="861"/>
      <c r="C469" s="1165" t="s">
        <v>1859</v>
      </c>
      <c r="D469" s="849">
        <v>4</v>
      </c>
      <c r="E469" s="849" t="s">
        <v>64</v>
      </c>
      <c r="F469" s="854"/>
      <c r="G469" s="854"/>
      <c r="H469" s="861"/>
      <c r="I469" s="861"/>
    </row>
    <row r="470" spans="1:9">
      <c r="A470" s="1176"/>
      <c r="B470" s="861"/>
      <c r="C470" s="1165"/>
      <c r="D470" s="849"/>
      <c r="E470" s="849"/>
      <c r="F470" s="854"/>
      <c r="G470" s="854"/>
      <c r="H470" s="861"/>
      <c r="I470" s="861"/>
    </row>
    <row r="471" spans="1:9" ht="38.25">
      <c r="A471" s="1176">
        <v>4</v>
      </c>
      <c r="B471" s="861"/>
      <c r="C471" s="1165" t="s">
        <v>1866</v>
      </c>
      <c r="D471" s="849">
        <v>60</v>
      </c>
      <c r="E471" s="1209" t="s">
        <v>736</v>
      </c>
      <c r="F471" s="854"/>
      <c r="G471" s="854"/>
      <c r="H471" s="861"/>
      <c r="I471" s="861"/>
    </row>
    <row r="472" spans="1:9">
      <c r="A472" s="1148"/>
      <c r="B472" s="861"/>
      <c r="C472" s="1165"/>
      <c r="D472" s="849"/>
      <c r="E472" s="849"/>
      <c r="F472" s="854"/>
      <c r="G472" s="854"/>
      <c r="H472" s="861"/>
      <c r="I472" s="861"/>
    </row>
    <row r="473" spans="1:9" ht="15">
      <c r="A473" s="1179"/>
      <c r="B473" s="861"/>
      <c r="C473" s="1172" t="s">
        <v>1867</v>
      </c>
      <c r="D473" s="1175"/>
      <c r="E473" s="1175"/>
      <c r="F473" s="854"/>
      <c r="G473" s="854"/>
      <c r="H473" s="861"/>
      <c r="I473" s="861"/>
    </row>
    <row r="474" spans="1:9" ht="15">
      <c r="A474" s="1160">
        <v>21</v>
      </c>
      <c r="B474" s="861"/>
      <c r="C474" s="1174" t="s">
        <v>1868</v>
      </c>
      <c r="D474" s="1175"/>
      <c r="E474" s="1175"/>
      <c r="F474" s="854"/>
      <c r="G474" s="854"/>
      <c r="H474" s="861"/>
      <c r="I474" s="861"/>
    </row>
    <row r="475" spans="1:9" ht="15">
      <c r="A475" s="1179"/>
      <c r="B475" s="861"/>
      <c r="C475" s="1180"/>
      <c r="D475" s="1175"/>
      <c r="E475" s="1175"/>
      <c r="F475" s="854"/>
      <c r="G475" s="854"/>
      <c r="H475" s="861"/>
      <c r="I475" s="861"/>
    </row>
    <row r="476" spans="1:9" ht="229.5">
      <c r="A476" s="1148"/>
      <c r="B476" s="861"/>
      <c r="C476" s="1165" t="s">
        <v>1869</v>
      </c>
      <c r="D476" s="849"/>
      <c r="E476" s="849"/>
      <c r="F476" s="854"/>
      <c r="G476" s="854"/>
      <c r="H476" s="861"/>
      <c r="I476" s="861"/>
    </row>
    <row r="477" spans="1:9">
      <c r="A477" s="1148"/>
      <c r="B477" s="861"/>
      <c r="C477" s="1165"/>
      <c r="D477" s="849"/>
      <c r="E477" s="849"/>
      <c r="F477" s="854"/>
      <c r="G477" s="854"/>
      <c r="H477" s="861"/>
      <c r="I477" s="861"/>
    </row>
    <row r="478" spans="1:9">
      <c r="A478" s="1148"/>
      <c r="B478" s="861"/>
      <c r="C478" s="1181" t="s">
        <v>1870</v>
      </c>
      <c r="D478" s="849"/>
      <c r="E478" s="849"/>
      <c r="F478" s="854"/>
      <c r="G478" s="854"/>
      <c r="H478" s="861"/>
      <c r="I478" s="861"/>
    </row>
    <row r="479" spans="1:9">
      <c r="A479" s="1148"/>
      <c r="B479" s="861"/>
      <c r="C479" s="1165" t="s">
        <v>1871</v>
      </c>
      <c r="D479" s="849"/>
      <c r="E479" s="849"/>
      <c r="F479" s="854"/>
      <c r="G479" s="854"/>
      <c r="H479" s="861"/>
      <c r="I479" s="861"/>
    </row>
    <row r="480" spans="1:9">
      <c r="A480" s="1148"/>
      <c r="B480" s="861"/>
      <c r="C480" s="1182" t="s">
        <v>1872</v>
      </c>
      <c r="D480" s="849"/>
      <c r="E480" s="849"/>
      <c r="F480" s="854"/>
      <c r="G480" s="854"/>
      <c r="H480" s="861"/>
      <c r="I480" s="861"/>
    </row>
    <row r="481" spans="1:9">
      <c r="A481" s="1148"/>
      <c r="B481" s="861"/>
      <c r="C481" s="1165" t="s">
        <v>1873</v>
      </c>
      <c r="D481" s="849"/>
      <c r="E481" s="993"/>
      <c r="F481" s="854"/>
      <c r="G481" s="854"/>
      <c r="H481" s="861"/>
      <c r="I481" s="861"/>
    </row>
    <row r="482" spans="1:9">
      <c r="A482" s="1148"/>
      <c r="B482" s="861"/>
      <c r="C482" s="1182" t="s">
        <v>1874</v>
      </c>
      <c r="D482" s="849"/>
      <c r="E482" s="993"/>
      <c r="F482" s="854"/>
      <c r="G482" s="854"/>
      <c r="H482" s="861"/>
      <c r="I482" s="861"/>
    </row>
    <row r="483" spans="1:9" ht="25.5">
      <c r="A483" s="1148"/>
      <c r="B483" s="861"/>
      <c r="C483" s="1165" t="s">
        <v>1875</v>
      </c>
      <c r="D483" s="849"/>
      <c r="E483" s="993"/>
      <c r="F483" s="854"/>
      <c r="G483" s="854"/>
      <c r="H483" s="861"/>
      <c r="I483" s="861"/>
    </row>
    <row r="484" spans="1:9">
      <c r="A484" s="1148"/>
      <c r="B484" s="861"/>
      <c r="C484" s="855" t="s">
        <v>1876</v>
      </c>
      <c r="D484" s="849"/>
      <c r="E484" s="993"/>
      <c r="F484" s="854"/>
      <c r="G484" s="854"/>
      <c r="H484" s="861"/>
      <c r="I484" s="861"/>
    </row>
    <row r="485" spans="1:9">
      <c r="A485" s="1148"/>
      <c r="B485" s="861"/>
      <c r="C485" s="855" t="s">
        <v>1877</v>
      </c>
      <c r="D485" s="849"/>
      <c r="E485" s="993"/>
      <c r="F485" s="854"/>
      <c r="G485" s="854"/>
      <c r="H485" s="861"/>
      <c r="I485" s="861"/>
    </row>
    <row r="486" spans="1:9">
      <c r="A486" s="1148"/>
      <c r="B486" s="861"/>
      <c r="C486" s="855" t="s">
        <v>1878</v>
      </c>
      <c r="D486" s="855"/>
      <c r="E486" s="855"/>
      <c r="F486" s="854"/>
      <c r="G486" s="854"/>
      <c r="H486" s="861"/>
      <c r="I486" s="861"/>
    </row>
    <row r="487" spans="1:9">
      <c r="A487" s="1148"/>
      <c r="B487" s="861"/>
      <c r="C487" s="1182" t="s">
        <v>1879</v>
      </c>
      <c r="D487" s="849"/>
      <c r="E487" s="849"/>
      <c r="F487" s="854"/>
      <c r="G487" s="854"/>
      <c r="H487" s="861"/>
      <c r="I487" s="861"/>
    </row>
    <row r="488" spans="1:9" ht="38.25">
      <c r="A488" s="1148"/>
      <c r="B488" s="861"/>
      <c r="C488" s="1165" t="s">
        <v>1880</v>
      </c>
      <c r="D488" s="849"/>
      <c r="E488" s="849"/>
      <c r="F488" s="854"/>
      <c r="G488" s="854"/>
      <c r="H488" s="861"/>
      <c r="I488" s="861"/>
    </row>
    <row r="489" spans="1:9" ht="25.5">
      <c r="A489" s="1148"/>
      <c r="B489" s="861"/>
      <c r="C489" s="1165" t="s">
        <v>1881</v>
      </c>
      <c r="D489" s="849">
        <v>1</v>
      </c>
      <c r="E489" s="849" t="s">
        <v>1882</v>
      </c>
      <c r="F489" s="854"/>
      <c r="G489" s="854"/>
      <c r="H489" s="861"/>
      <c r="I489" s="861"/>
    </row>
    <row r="490" spans="1:9">
      <c r="A490" s="1148"/>
      <c r="B490" s="861"/>
      <c r="C490" s="1165"/>
      <c r="D490" s="849"/>
      <c r="E490" s="849"/>
      <c r="F490" s="854"/>
      <c r="G490" s="854"/>
      <c r="H490" s="861"/>
      <c r="I490" s="861"/>
    </row>
    <row r="491" spans="1:9">
      <c r="A491" s="1148"/>
      <c r="B491" s="861"/>
      <c r="C491" s="1181" t="s">
        <v>1883</v>
      </c>
      <c r="D491" s="849"/>
      <c r="E491" s="849"/>
      <c r="F491" s="854"/>
      <c r="G491" s="854"/>
      <c r="H491" s="861"/>
      <c r="I491" s="861"/>
    </row>
    <row r="492" spans="1:9">
      <c r="A492" s="1148"/>
      <c r="B492" s="861"/>
      <c r="C492" s="1165" t="s">
        <v>1871</v>
      </c>
      <c r="D492" s="849"/>
      <c r="E492" s="849"/>
      <c r="F492" s="854"/>
      <c r="G492" s="854"/>
      <c r="H492" s="861"/>
      <c r="I492" s="861"/>
    </row>
    <row r="493" spans="1:9">
      <c r="A493" s="1148"/>
      <c r="B493" s="861"/>
      <c r="C493" s="1182" t="s">
        <v>1872</v>
      </c>
      <c r="D493" s="849"/>
      <c r="E493" s="849"/>
      <c r="F493" s="854"/>
      <c r="G493" s="854"/>
      <c r="H493" s="861"/>
      <c r="I493" s="861"/>
    </row>
    <row r="494" spans="1:9">
      <c r="A494" s="1148"/>
      <c r="B494" s="861"/>
      <c r="C494" s="1165" t="s">
        <v>1884</v>
      </c>
      <c r="D494" s="849"/>
      <c r="E494" s="993"/>
      <c r="F494" s="854"/>
      <c r="G494" s="854"/>
      <c r="H494" s="861"/>
      <c r="I494" s="861"/>
    </row>
    <row r="495" spans="1:9">
      <c r="A495" s="1148"/>
      <c r="B495" s="861"/>
      <c r="C495" s="1182" t="s">
        <v>1874</v>
      </c>
      <c r="D495" s="849"/>
      <c r="E495" s="993"/>
      <c r="F495" s="854"/>
      <c r="G495" s="854"/>
      <c r="H495" s="861"/>
      <c r="I495" s="861"/>
    </row>
    <row r="496" spans="1:9" ht="25.5">
      <c r="A496" s="1148"/>
      <c r="B496" s="861"/>
      <c r="C496" s="1165" t="s">
        <v>1885</v>
      </c>
      <c r="D496" s="849"/>
      <c r="E496" s="993"/>
      <c r="F496" s="854"/>
      <c r="G496" s="854"/>
      <c r="H496" s="861"/>
      <c r="I496" s="861"/>
    </row>
    <row r="497" spans="1:9">
      <c r="A497" s="1148"/>
      <c r="B497" s="861"/>
      <c r="C497" s="855" t="s">
        <v>1886</v>
      </c>
      <c r="D497" s="849"/>
      <c r="E497" s="993"/>
      <c r="F497" s="854"/>
      <c r="G497" s="854"/>
      <c r="H497" s="861"/>
      <c r="I497" s="861"/>
    </row>
    <row r="498" spans="1:9">
      <c r="A498" s="1148"/>
      <c r="B498" s="861"/>
      <c r="C498" s="855" t="s">
        <v>1887</v>
      </c>
      <c r="D498" s="855"/>
      <c r="E498" s="855"/>
      <c r="F498" s="854"/>
      <c r="G498" s="854"/>
      <c r="H498" s="861"/>
      <c r="I498" s="861"/>
    </row>
    <row r="499" spans="1:9">
      <c r="A499" s="1148"/>
      <c r="B499" s="861"/>
      <c r="C499" s="1182" t="s">
        <v>1879</v>
      </c>
      <c r="D499" s="849"/>
      <c r="E499" s="849"/>
      <c r="F499" s="854"/>
      <c r="G499" s="854"/>
      <c r="H499" s="861"/>
      <c r="I499" s="861"/>
    </row>
    <row r="500" spans="1:9" ht="38.25">
      <c r="A500" s="1148"/>
      <c r="B500" s="861"/>
      <c r="C500" s="1165" t="s">
        <v>1880</v>
      </c>
      <c r="D500" s="849"/>
      <c r="E500" s="849"/>
      <c r="F500" s="854"/>
      <c r="G500" s="854"/>
      <c r="H500" s="861"/>
      <c r="I500" s="861"/>
    </row>
    <row r="501" spans="1:9" ht="25.5">
      <c r="A501" s="1148"/>
      <c r="B501" s="861"/>
      <c r="C501" s="1165" t="s">
        <v>1881</v>
      </c>
      <c r="D501" s="849">
        <v>1</v>
      </c>
      <c r="E501" s="849" t="s">
        <v>1882</v>
      </c>
      <c r="F501" s="854"/>
      <c r="G501" s="854"/>
      <c r="H501" s="861"/>
      <c r="I501" s="861"/>
    </row>
    <row r="502" spans="1:9">
      <c r="A502" s="1148"/>
      <c r="B502" s="861"/>
      <c r="C502" s="1165"/>
      <c r="D502" s="849"/>
      <c r="E502" s="849"/>
      <c r="F502" s="854"/>
      <c r="G502" s="854"/>
      <c r="H502" s="861"/>
      <c r="I502" s="861"/>
    </row>
    <row r="503" spans="1:9">
      <c r="A503" s="1148"/>
      <c r="B503" s="861"/>
      <c r="C503" s="1181" t="s">
        <v>1888</v>
      </c>
      <c r="D503" s="849"/>
      <c r="E503" s="849"/>
      <c r="F503" s="854"/>
      <c r="G503" s="854"/>
      <c r="H503" s="861"/>
      <c r="I503" s="861"/>
    </row>
    <row r="504" spans="1:9">
      <c r="A504" s="1148"/>
      <c r="B504" s="861"/>
      <c r="C504" s="1182" t="s">
        <v>1872</v>
      </c>
      <c r="D504" s="849"/>
      <c r="E504" s="849"/>
      <c r="F504" s="854"/>
      <c r="G504" s="854"/>
      <c r="H504" s="861"/>
      <c r="I504" s="861"/>
    </row>
    <row r="505" spans="1:9">
      <c r="A505" s="1148"/>
      <c r="B505" s="861"/>
      <c r="C505" s="1165" t="s">
        <v>1889</v>
      </c>
      <c r="D505" s="849"/>
      <c r="E505" s="993"/>
      <c r="F505" s="854"/>
      <c r="G505" s="854"/>
      <c r="H505" s="861"/>
      <c r="I505" s="861"/>
    </row>
    <row r="506" spans="1:9">
      <c r="A506" s="1148"/>
      <c r="B506" s="861"/>
      <c r="C506" s="1182" t="s">
        <v>1890</v>
      </c>
      <c r="D506" s="849"/>
      <c r="E506" s="993"/>
      <c r="F506" s="854"/>
      <c r="G506" s="854"/>
      <c r="H506" s="861"/>
      <c r="I506" s="861"/>
    </row>
    <row r="507" spans="1:9" ht="25.5">
      <c r="A507" s="1148"/>
      <c r="B507" s="861"/>
      <c r="C507" s="1183" t="s">
        <v>1891</v>
      </c>
      <c r="D507" s="849"/>
      <c r="E507" s="993"/>
      <c r="F507" s="854"/>
      <c r="G507" s="854"/>
      <c r="H507" s="861"/>
      <c r="I507" s="861"/>
    </row>
    <row r="508" spans="1:9">
      <c r="A508" s="1148"/>
      <c r="B508" s="861"/>
      <c r="C508" s="855" t="s">
        <v>1892</v>
      </c>
      <c r="D508" s="849"/>
      <c r="E508" s="993"/>
      <c r="F508" s="854"/>
      <c r="G508" s="854"/>
      <c r="H508" s="861"/>
      <c r="I508" s="861"/>
    </row>
    <row r="509" spans="1:9">
      <c r="A509" s="1148"/>
      <c r="B509" s="861"/>
      <c r="C509" s="855" t="s">
        <v>1893</v>
      </c>
      <c r="D509" s="849"/>
      <c r="E509" s="993"/>
      <c r="F509" s="854"/>
      <c r="G509" s="854"/>
      <c r="H509" s="861"/>
      <c r="I509" s="861"/>
    </row>
    <row r="510" spans="1:9">
      <c r="A510" s="1148"/>
      <c r="B510" s="861"/>
      <c r="C510" s="855" t="s">
        <v>1894</v>
      </c>
      <c r="D510" s="849"/>
      <c r="E510" s="993"/>
      <c r="F510" s="854"/>
      <c r="G510" s="854"/>
      <c r="H510" s="861"/>
      <c r="I510" s="861"/>
    </row>
    <row r="511" spans="1:9">
      <c r="A511" s="1148"/>
      <c r="B511" s="861"/>
      <c r="C511" s="855" t="s">
        <v>1895</v>
      </c>
      <c r="D511" s="849"/>
      <c r="E511" s="993"/>
      <c r="F511" s="854"/>
      <c r="G511" s="854"/>
      <c r="H511" s="861"/>
      <c r="I511" s="861"/>
    </row>
    <row r="512" spans="1:9">
      <c r="A512" s="1148"/>
      <c r="B512" s="861"/>
      <c r="C512" s="855" t="s">
        <v>1896</v>
      </c>
      <c r="D512" s="849"/>
      <c r="E512" s="993"/>
      <c r="F512" s="854"/>
      <c r="G512" s="854"/>
      <c r="H512" s="861"/>
      <c r="I512" s="861"/>
    </row>
    <row r="513" spans="1:9">
      <c r="A513" s="1148"/>
      <c r="B513" s="861"/>
      <c r="C513" s="855" t="s">
        <v>1897</v>
      </c>
      <c r="D513" s="849">
        <v>1</v>
      </c>
      <c r="E513" s="849" t="s">
        <v>1882</v>
      </c>
      <c r="F513" s="854"/>
      <c r="G513" s="854"/>
      <c r="H513" s="861"/>
      <c r="I513" s="861"/>
    </row>
    <row r="514" spans="1:9">
      <c r="A514" s="1148"/>
      <c r="B514" s="861"/>
      <c r="C514" s="855"/>
      <c r="D514" s="849"/>
      <c r="E514" s="849"/>
      <c r="F514" s="854"/>
      <c r="G514" s="854"/>
      <c r="H514" s="861"/>
      <c r="I514" s="861"/>
    </row>
    <row r="515" spans="1:9">
      <c r="A515" s="1148"/>
      <c r="B515" s="861"/>
      <c r="C515" s="855"/>
      <c r="D515" s="849"/>
      <c r="E515" s="849"/>
      <c r="F515" s="854"/>
      <c r="G515" s="854"/>
      <c r="H515" s="861"/>
      <c r="I515" s="861"/>
    </row>
    <row r="516" spans="1:9">
      <c r="A516" s="1148"/>
      <c r="B516" s="861"/>
      <c r="C516" s="855" t="s">
        <v>1898</v>
      </c>
      <c r="D516" s="849"/>
      <c r="E516" s="849"/>
      <c r="F516" s="854"/>
      <c r="G516" s="854"/>
      <c r="H516" s="861"/>
      <c r="I516" s="861"/>
    </row>
    <row r="517" spans="1:9">
      <c r="A517" s="1148"/>
      <c r="B517" s="861"/>
      <c r="C517" s="855" t="s">
        <v>1872</v>
      </c>
      <c r="D517" s="849"/>
      <c r="E517" s="849"/>
      <c r="F517" s="854"/>
      <c r="G517" s="854"/>
      <c r="H517" s="861"/>
      <c r="I517" s="861"/>
    </row>
    <row r="518" spans="1:9">
      <c r="A518" s="1148"/>
      <c r="B518" s="861"/>
      <c r="C518" s="855" t="s">
        <v>1899</v>
      </c>
      <c r="D518" s="849"/>
      <c r="E518" s="849"/>
      <c r="F518" s="854"/>
      <c r="G518" s="854"/>
      <c r="H518" s="861"/>
      <c r="I518" s="861"/>
    </row>
    <row r="519" spans="1:9">
      <c r="A519" s="1148"/>
      <c r="B519" s="861"/>
      <c r="C519" s="855" t="s">
        <v>1890</v>
      </c>
      <c r="D519" s="849"/>
      <c r="E519" s="849"/>
      <c r="F519" s="854"/>
      <c r="G519" s="854"/>
      <c r="H519" s="861"/>
      <c r="I519" s="861"/>
    </row>
    <row r="520" spans="1:9">
      <c r="A520" s="1148"/>
      <c r="B520" s="861"/>
      <c r="C520" s="855" t="s">
        <v>1900</v>
      </c>
      <c r="D520" s="849"/>
      <c r="E520" s="849"/>
      <c r="F520" s="854"/>
      <c r="G520" s="854"/>
      <c r="H520" s="861"/>
      <c r="I520" s="861"/>
    </row>
    <row r="521" spans="1:9">
      <c r="A521" s="1148"/>
      <c r="B521" s="861"/>
      <c r="C521" s="855" t="s">
        <v>1901</v>
      </c>
      <c r="D521" s="849"/>
      <c r="E521" s="849"/>
      <c r="F521" s="854"/>
      <c r="G521" s="854"/>
      <c r="H521" s="861"/>
      <c r="I521" s="861"/>
    </row>
    <row r="522" spans="1:9">
      <c r="A522" s="1148"/>
      <c r="B522" s="861"/>
      <c r="C522" s="855" t="s">
        <v>1902</v>
      </c>
      <c r="D522" s="849">
        <v>1</v>
      </c>
      <c r="E522" s="849" t="s">
        <v>1882</v>
      </c>
      <c r="F522" s="854"/>
      <c r="G522" s="854"/>
      <c r="H522" s="861"/>
      <c r="I522" s="861"/>
    </row>
    <row r="523" spans="1:9">
      <c r="A523" s="1148"/>
      <c r="B523" s="861"/>
      <c r="C523" s="855"/>
      <c r="D523" s="849" t="s">
        <v>23</v>
      </c>
      <c r="E523" s="993"/>
      <c r="F523" s="854"/>
      <c r="G523" s="854"/>
      <c r="H523" s="861"/>
      <c r="I523" s="861"/>
    </row>
    <row r="524" spans="1:9" ht="15">
      <c r="A524" s="861"/>
      <c r="B524" s="861"/>
      <c r="C524" s="1172" t="s">
        <v>1903</v>
      </c>
      <c r="D524" s="1184"/>
      <c r="E524" s="1184"/>
      <c r="F524" s="854"/>
      <c r="G524" s="854"/>
      <c r="H524" s="861"/>
      <c r="I524" s="861"/>
    </row>
    <row r="525" spans="1:9" ht="15">
      <c r="A525" s="1160">
        <v>22</v>
      </c>
      <c r="B525" s="861"/>
      <c r="C525" s="1174" t="s">
        <v>1904</v>
      </c>
      <c r="D525" s="1175"/>
      <c r="E525" s="1175"/>
      <c r="F525" s="854"/>
      <c r="G525" s="854"/>
      <c r="H525" s="861"/>
      <c r="I525" s="861"/>
    </row>
    <row r="526" spans="1:9" ht="127.5">
      <c r="A526" s="1148">
        <v>1</v>
      </c>
      <c r="B526" s="861"/>
      <c r="C526" s="1165" t="s">
        <v>1905</v>
      </c>
      <c r="D526" s="849"/>
      <c r="E526" s="849"/>
      <c r="F526" s="854"/>
      <c r="G526" s="854"/>
      <c r="H526" s="861"/>
      <c r="I526" s="861"/>
    </row>
    <row r="527" spans="1:9">
      <c r="A527" s="1148"/>
      <c r="B527" s="861"/>
      <c r="C527" s="855"/>
      <c r="D527" s="849"/>
      <c r="E527" s="849"/>
      <c r="F527" s="854"/>
      <c r="G527" s="854"/>
      <c r="H527" s="861"/>
      <c r="I527" s="861"/>
    </row>
    <row r="528" spans="1:9">
      <c r="A528" s="1148" t="s">
        <v>476</v>
      </c>
      <c r="B528" s="861"/>
      <c r="C528" s="855" t="s">
        <v>1906</v>
      </c>
      <c r="D528" s="849">
        <v>6</v>
      </c>
      <c r="E528" s="849" t="s">
        <v>64</v>
      </c>
      <c r="F528" s="854"/>
      <c r="G528" s="854"/>
      <c r="H528" s="861"/>
      <c r="I528" s="861"/>
    </row>
    <row r="529" spans="1:9">
      <c r="A529" s="1148"/>
      <c r="B529" s="861"/>
      <c r="C529" s="855"/>
      <c r="D529" s="849"/>
      <c r="E529" s="849"/>
      <c r="F529" s="854"/>
      <c r="G529" s="854"/>
      <c r="H529" s="861"/>
      <c r="I529" s="861"/>
    </row>
    <row r="530" spans="1:9" ht="127.5">
      <c r="A530" s="1148">
        <v>2</v>
      </c>
      <c r="B530" s="861"/>
      <c r="C530" s="1165" t="s">
        <v>1907</v>
      </c>
      <c r="D530" s="849"/>
      <c r="E530" s="849"/>
      <c r="F530" s="854"/>
      <c r="G530" s="854"/>
      <c r="H530" s="861"/>
      <c r="I530" s="861"/>
    </row>
    <row r="531" spans="1:9">
      <c r="A531" s="1148"/>
      <c r="B531" s="861"/>
      <c r="C531" s="855"/>
      <c r="D531" s="849"/>
      <c r="E531" s="849"/>
      <c r="F531" s="854"/>
      <c r="G531" s="854"/>
      <c r="H531" s="861"/>
      <c r="I531" s="861"/>
    </row>
    <row r="532" spans="1:9">
      <c r="A532" s="1148" t="s">
        <v>475</v>
      </c>
      <c r="B532" s="861"/>
      <c r="C532" s="855" t="s">
        <v>1908</v>
      </c>
      <c r="D532" s="849">
        <v>6</v>
      </c>
      <c r="E532" s="849" t="s">
        <v>64</v>
      </c>
      <c r="F532" s="854"/>
      <c r="G532" s="854"/>
      <c r="H532" s="861"/>
      <c r="I532" s="861"/>
    </row>
    <row r="533" spans="1:9">
      <c r="A533" s="1148"/>
      <c r="B533" s="861"/>
      <c r="C533" s="855"/>
      <c r="D533" s="849"/>
      <c r="E533" s="849"/>
      <c r="F533" s="854"/>
      <c r="G533" s="854"/>
      <c r="H533" s="861"/>
      <c r="I533" s="861"/>
    </row>
    <row r="534" spans="1:9" ht="76.5">
      <c r="A534" s="1148">
        <v>3</v>
      </c>
      <c r="B534" s="861"/>
      <c r="C534" s="1165" t="s">
        <v>1909</v>
      </c>
      <c r="D534" s="849"/>
      <c r="E534" s="849"/>
      <c r="F534" s="854"/>
      <c r="G534" s="854"/>
      <c r="H534" s="861"/>
      <c r="I534" s="861"/>
    </row>
    <row r="535" spans="1:9">
      <c r="A535" s="1148"/>
      <c r="B535" s="861"/>
      <c r="C535" s="855"/>
      <c r="D535" s="849"/>
      <c r="E535" s="849"/>
      <c r="F535" s="854"/>
      <c r="G535" s="854"/>
      <c r="H535" s="861"/>
      <c r="I535" s="861"/>
    </row>
    <row r="536" spans="1:9">
      <c r="A536" s="1148" t="s">
        <v>475</v>
      </c>
      <c r="B536" s="861"/>
      <c r="C536" s="855" t="s">
        <v>1910</v>
      </c>
      <c r="D536" s="849">
        <v>168</v>
      </c>
      <c r="E536" s="849" t="s">
        <v>64</v>
      </c>
      <c r="F536" s="854"/>
      <c r="G536" s="854"/>
      <c r="H536" s="861"/>
      <c r="I536" s="861"/>
    </row>
    <row r="537" spans="1:9">
      <c r="A537" s="1148"/>
      <c r="B537" s="861"/>
      <c r="C537" s="855"/>
      <c r="D537" s="849"/>
      <c r="E537" s="849"/>
      <c r="F537" s="854"/>
      <c r="G537" s="854"/>
      <c r="H537" s="861"/>
      <c r="I537" s="861"/>
    </row>
    <row r="538" spans="1:9" ht="76.5">
      <c r="A538" s="1148">
        <v>4</v>
      </c>
      <c r="B538" s="861"/>
      <c r="C538" s="1165" t="s">
        <v>1911</v>
      </c>
      <c r="D538" s="849"/>
      <c r="E538" s="849"/>
      <c r="F538" s="854"/>
      <c r="G538" s="854"/>
      <c r="H538" s="861"/>
      <c r="I538" s="861"/>
    </row>
    <row r="539" spans="1:9">
      <c r="A539" s="1148"/>
      <c r="B539" s="861"/>
      <c r="C539" s="855"/>
      <c r="D539" s="849"/>
      <c r="E539" s="849"/>
      <c r="F539" s="854"/>
      <c r="G539" s="854"/>
      <c r="H539" s="861"/>
      <c r="I539" s="861"/>
    </row>
    <row r="540" spans="1:9">
      <c r="A540" s="1148" t="s">
        <v>475</v>
      </c>
      <c r="B540" s="861"/>
      <c r="C540" s="855" t="s">
        <v>1912</v>
      </c>
      <c r="D540" s="849">
        <v>6</v>
      </c>
      <c r="E540" s="849" t="s">
        <v>64</v>
      </c>
      <c r="F540" s="854"/>
      <c r="G540" s="854"/>
      <c r="H540" s="861"/>
      <c r="I540" s="861"/>
    </row>
    <row r="541" spans="1:9">
      <c r="A541" s="1148"/>
      <c r="B541" s="861"/>
      <c r="C541" s="855"/>
      <c r="D541" s="849"/>
      <c r="E541" s="849"/>
      <c r="F541" s="854"/>
      <c r="G541" s="854"/>
      <c r="H541" s="861"/>
      <c r="I541" s="861"/>
    </row>
    <row r="542" spans="1:9" ht="63.75">
      <c r="A542" s="1148">
        <v>5</v>
      </c>
      <c r="B542" s="861"/>
      <c r="C542" s="1165" t="s">
        <v>1913</v>
      </c>
      <c r="D542" s="849"/>
      <c r="E542" s="849"/>
      <c r="F542" s="854"/>
      <c r="G542" s="854"/>
      <c r="H542" s="861"/>
      <c r="I542" s="861"/>
    </row>
    <row r="543" spans="1:9">
      <c r="A543" s="1148"/>
      <c r="B543" s="861"/>
      <c r="C543" s="855"/>
      <c r="D543" s="849"/>
      <c r="E543" s="849"/>
      <c r="F543" s="854"/>
      <c r="G543" s="854"/>
      <c r="H543" s="861"/>
      <c r="I543" s="861"/>
    </row>
    <row r="544" spans="1:9">
      <c r="A544" s="1148" t="s">
        <v>475</v>
      </c>
      <c r="B544" s="861"/>
      <c r="C544" s="855" t="s">
        <v>1914</v>
      </c>
      <c r="D544" s="849">
        <v>4</v>
      </c>
      <c r="E544" s="849" t="s">
        <v>64</v>
      </c>
      <c r="F544" s="854"/>
      <c r="G544" s="854"/>
      <c r="H544" s="861"/>
      <c r="I544" s="861"/>
    </row>
    <row r="545" spans="1:9">
      <c r="A545" s="1148"/>
      <c r="B545" s="861"/>
      <c r="C545" s="855"/>
      <c r="D545" s="849"/>
      <c r="E545" s="849"/>
      <c r="F545" s="854"/>
      <c r="G545" s="854"/>
      <c r="H545" s="861"/>
      <c r="I545" s="861"/>
    </row>
    <row r="546" spans="1:9">
      <c r="A546" s="1148" t="s">
        <v>475</v>
      </c>
      <c r="B546" s="861"/>
      <c r="C546" s="855" t="s">
        <v>1915</v>
      </c>
      <c r="D546" s="849">
        <v>6</v>
      </c>
      <c r="E546" s="849" t="s">
        <v>64</v>
      </c>
      <c r="F546" s="854"/>
      <c r="G546" s="854"/>
      <c r="H546" s="861"/>
      <c r="I546" s="861"/>
    </row>
    <row r="547" spans="1:9" ht="15">
      <c r="A547" s="1179"/>
      <c r="B547" s="861"/>
      <c r="C547" s="1172" t="s">
        <v>1916</v>
      </c>
      <c r="D547" s="1175"/>
      <c r="E547" s="1175"/>
      <c r="F547" s="854"/>
      <c r="G547" s="854"/>
      <c r="H547" s="861"/>
      <c r="I547" s="861"/>
    </row>
    <row r="548" spans="1:9" ht="15">
      <c r="A548" s="1160">
        <v>23</v>
      </c>
      <c r="B548" s="861"/>
      <c r="C548" s="1174" t="s">
        <v>1917</v>
      </c>
      <c r="D548" s="1175"/>
      <c r="E548" s="1175"/>
      <c r="F548" s="854"/>
      <c r="G548" s="854"/>
      <c r="H548" s="861"/>
      <c r="I548" s="861"/>
    </row>
    <row r="549" spans="1:9" ht="76.5">
      <c r="A549" s="1148">
        <v>1</v>
      </c>
      <c r="B549" s="861"/>
      <c r="C549" s="1165" t="s">
        <v>1918</v>
      </c>
      <c r="D549" s="855"/>
      <c r="E549" s="855"/>
      <c r="F549" s="854"/>
      <c r="G549" s="854"/>
      <c r="H549" s="861"/>
      <c r="I549" s="861"/>
    </row>
    <row r="550" spans="1:9">
      <c r="A550" s="1148"/>
      <c r="B550" s="861"/>
      <c r="C550" s="1165" t="s">
        <v>1919</v>
      </c>
      <c r="D550" s="849">
        <v>4</v>
      </c>
      <c r="E550" s="849" t="s">
        <v>64</v>
      </c>
      <c r="F550" s="854"/>
      <c r="G550" s="854"/>
      <c r="H550" s="861"/>
      <c r="I550" s="861"/>
    </row>
    <row r="551" spans="1:9">
      <c r="A551" s="1148"/>
      <c r="B551" s="861"/>
      <c r="C551" s="1165"/>
      <c r="D551" s="849"/>
      <c r="E551" s="849"/>
      <c r="F551" s="854"/>
      <c r="G551" s="854"/>
      <c r="H551" s="861"/>
      <c r="I551" s="861"/>
    </row>
    <row r="552" spans="1:9">
      <c r="A552" s="1148">
        <v>2</v>
      </c>
      <c r="B552" s="861"/>
      <c r="C552" s="1165" t="s">
        <v>1920</v>
      </c>
      <c r="D552" s="849">
        <v>120</v>
      </c>
      <c r="E552" s="1209" t="s">
        <v>736</v>
      </c>
      <c r="F552" s="854"/>
      <c r="G552" s="854"/>
      <c r="H552" s="861"/>
      <c r="I552" s="861"/>
    </row>
    <row r="553" spans="1:9">
      <c r="A553" s="1148"/>
      <c r="B553" s="861"/>
      <c r="C553" s="1165"/>
      <c r="D553" s="849"/>
      <c r="E553" s="849"/>
      <c r="F553" s="854"/>
      <c r="G553" s="854"/>
      <c r="H553" s="861"/>
      <c r="I553" s="861"/>
    </row>
    <row r="554" spans="1:9" ht="15">
      <c r="A554" s="1179"/>
      <c r="B554" s="861"/>
      <c r="C554" s="1172" t="s">
        <v>1903</v>
      </c>
      <c r="D554" s="1175"/>
      <c r="E554" s="1161"/>
      <c r="F554" s="854"/>
      <c r="G554" s="854"/>
      <c r="H554" s="861"/>
      <c r="I554" s="861"/>
    </row>
    <row r="555" spans="1:9" ht="15">
      <c r="A555" s="1160">
        <v>24</v>
      </c>
      <c r="B555" s="861"/>
      <c r="C555" s="1174" t="s">
        <v>1921</v>
      </c>
      <c r="D555" s="1175"/>
      <c r="E555" s="1175"/>
      <c r="F555" s="854"/>
      <c r="G555" s="854"/>
      <c r="H555" s="861"/>
      <c r="I555" s="861"/>
    </row>
    <row r="556" spans="1:9" ht="15">
      <c r="A556" s="1160" t="s">
        <v>23</v>
      </c>
      <c r="B556" s="861"/>
      <c r="C556" s="1174" t="s">
        <v>23</v>
      </c>
      <c r="D556" s="1175"/>
      <c r="E556" s="1175"/>
      <c r="F556" s="854"/>
      <c r="G556" s="854"/>
      <c r="H556" s="861"/>
      <c r="I556" s="861"/>
    </row>
    <row r="557" spans="1:9" ht="76.5">
      <c r="A557" s="1148">
        <v>1</v>
      </c>
      <c r="B557" s="861"/>
      <c r="C557" s="1165" t="s">
        <v>1918</v>
      </c>
      <c r="D557" s="855"/>
      <c r="E557" s="855"/>
      <c r="F557" s="854"/>
      <c r="G557" s="854"/>
      <c r="H557" s="861"/>
      <c r="I557" s="861"/>
    </row>
    <row r="558" spans="1:9">
      <c r="A558" s="1148"/>
      <c r="B558" s="861"/>
      <c r="C558" s="1165"/>
      <c r="D558" s="849"/>
      <c r="E558" s="849"/>
      <c r="F558" s="854"/>
      <c r="G558" s="854"/>
      <c r="H558" s="861"/>
      <c r="I558" s="861"/>
    </row>
    <row r="559" spans="1:9">
      <c r="A559" s="1148"/>
      <c r="B559" s="861"/>
      <c r="C559" s="1165" t="s">
        <v>1919</v>
      </c>
      <c r="D559" s="849">
        <v>4</v>
      </c>
      <c r="E559" s="849" t="s">
        <v>64</v>
      </c>
      <c r="F559" s="854"/>
      <c r="G559" s="854"/>
      <c r="H559" s="861"/>
      <c r="I559" s="861"/>
    </row>
    <row r="560" spans="1:9">
      <c r="A560" s="1148"/>
      <c r="B560" s="861"/>
      <c r="C560" s="1165"/>
      <c r="D560" s="849"/>
      <c r="E560" s="849"/>
      <c r="F560" s="854"/>
      <c r="G560" s="854"/>
      <c r="H560" s="861"/>
      <c r="I560" s="861"/>
    </row>
    <row r="561" spans="1:9">
      <c r="A561" s="1148">
        <v>2</v>
      </c>
      <c r="B561" s="861"/>
      <c r="C561" s="1165" t="s">
        <v>1920</v>
      </c>
      <c r="D561" s="849">
        <v>120</v>
      </c>
      <c r="E561" s="1209" t="s">
        <v>736</v>
      </c>
      <c r="F561" s="854"/>
      <c r="G561" s="854"/>
      <c r="H561" s="861"/>
      <c r="I561" s="861"/>
    </row>
    <row r="562" spans="1:9">
      <c r="A562" s="1148"/>
      <c r="B562" s="861"/>
      <c r="C562" s="1165"/>
      <c r="D562" s="849"/>
      <c r="E562" s="849"/>
      <c r="F562" s="854"/>
      <c r="G562" s="854"/>
      <c r="H562" s="861"/>
      <c r="I562" s="861"/>
    </row>
    <row r="563" spans="1:9" ht="63.75">
      <c r="A563" s="1148">
        <v>3</v>
      </c>
      <c r="B563" s="861"/>
      <c r="C563" s="1165" t="s">
        <v>1922</v>
      </c>
      <c r="D563" s="849">
        <v>4</v>
      </c>
      <c r="E563" s="849" t="s">
        <v>64</v>
      </c>
      <c r="F563" s="854"/>
      <c r="G563" s="854"/>
      <c r="H563" s="861"/>
      <c r="I563" s="861"/>
    </row>
    <row r="564" spans="1:9">
      <c r="A564" s="1148"/>
      <c r="B564" s="861"/>
      <c r="C564" s="1165"/>
      <c r="D564" s="849"/>
      <c r="E564" s="849"/>
      <c r="F564" s="854"/>
      <c r="G564" s="854"/>
      <c r="H564" s="861"/>
      <c r="I564" s="861"/>
    </row>
    <row r="565" spans="1:9" ht="63.75">
      <c r="A565" s="1148">
        <v>4</v>
      </c>
      <c r="B565" s="861"/>
      <c r="C565" s="1165" t="s">
        <v>1923</v>
      </c>
      <c r="D565" s="849">
        <v>4</v>
      </c>
      <c r="E565" s="849" t="s">
        <v>64</v>
      </c>
      <c r="F565" s="854"/>
      <c r="G565" s="854"/>
      <c r="H565" s="861"/>
      <c r="I565" s="861"/>
    </row>
    <row r="566" spans="1:9">
      <c r="A566" s="1148"/>
      <c r="B566" s="861"/>
      <c r="C566" s="1165"/>
      <c r="D566" s="849"/>
      <c r="E566" s="849"/>
      <c r="F566" s="854"/>
      <c r="G566" s="854"/>
      <c r="H566" s="861"/>
      <c r="I566" s="861"/>
    </row>
    <row r="567" spans="1:9" ht="15">
      <c r="A567" s="1179"/>
      <c r="B567" s="861"/>
      <c r="C567" s="1172" t="s">
        <v>1903</v>
      </c>
      <c r="D567" s="1175"/>
      <c r="E567" s="1161"/>
      <c r="F567" s="854"/>
      <c r="G567" s="854"/>
      <c r="H567" s="861"/>
      <c r="I567" s="861"/>
    </row>
    <row r="568" spans="1:9" ht="25.5">
      <c r="A568" s="1162">
        <v>25</v>
      </c>
      <c r="B568" s="861"/>
      <c r="C568" s="1174" t="s">
        <v>1924</v>
      </c>
      <c r="D568" s="1173"/>
      <c r="E568" s="1175"/>
      <c r="F568" s="854"/>
      <c r="G568" s="854"/>
      <c r="H568" s="861"/>
      <c r="I568" s="861"/>
    </row>
    <row r="569" spans="1:9" ht="38.25">
      <c r="A569" s="1176">
        <v>1</v>
      </c>
      <c r="B569" s="861"/>
      <c r="C569" s="1165" t="s">
        <v>1925</v>
      </c>
      <c r="D569" s="849">
        <v>336</v>
      </c>
      <c r="E569" s="849" t="s">
        <v>64</v>
      </c>
      <c r="F569" s="854"/>
      <c r="G569" s="854"/>
      <c r="H569" s="861"/>
      <c r="I569" s="861"/>
    </row>
    <row r="570" spans="1:9">
      <c r="A570" s="1176"/>
      <c r="B570" s="861"/>
      <c r="C570" s="1165"/>
      <c r="D570" s="849"/>
      <c r="E570" s="849"/>
      <c r="F570" s="854"/>
      <c r="G570" s="854"/>
      <c r="H570" s="861"/>
      <c r="I570" s="861"/>
    </row>
    <row r="571" spans="1:9" ht="38.25">
      <c r="A571" s="1176">
        <v>2</v>
      </c>
      <c r="B571" s="861"/>
      <c r="C571" s="1165" t="s">
        <v>1926</v>
      </c>
      <c r="D571" s="849">
        <v>0</v>
      </c>
      <c r="E571" s="849" t="s">
        <v>64</v>
      </c>
      <c r="F571" s="854"/>
      <c r="G571" s="854"/>
      <c r="H571" s="861"/>
      <c r="I571" s="861"/>
    </row>
    <row r="572" spans="1:9">
      <c r="A572" s="1176"/>
      <c r="B572" s="861"/>
      <c r="C572" s="1165"/>
      <c r="D572" s="849"/>
      <c r="E572" s="849"/>
      <c r="F572" s="854"/>
      <c r="G572" s="854"/>
      <c r="H572" s="861"/>
      <c r="I572" s="861"/>
    </row>
    <row r="573" spans="1:9" ht="25.5">
      <c r="A573" s="1176">
        <v>3</v>
      </c>
      <c r="B573" s="861"/>
      <c r="C573" s="1165" t="s">
        <v>1927</v>
      </c>
      <c r="D573" s="849">
        <v>309</v>
      </c>
      <c r="E573" s="849" t="s">
        <v>64</v>
      </c>
      <c r="F573" s="854"/>
      <c r="G573" s="854"/>
      <c r="H573" s="861"/>
      <c r="I573" s="861"/>
    </row>
    <row r="574" spans="1:9">
      <c r="A574" s="1176"/>
      <c r="B574" s="861"/>
      <c r="C574" s="1165"/>
      <c r="D574" s="849"/>
      <c r="E574" s="849"/>
      <c r="F574" s="854"/>
      <c r="G574" s="854"/>
      <c r="H574" s="861"/>
      <c r="I574" s="861"/>
    </row>
    <row r="575" spans="1:9" ht="38.25">
      <c r="A575" s="1176">
        <v>4</v>
      </c>
      <c r="B575" s="861"/>
      <c r="C575" s="1165" t="s">
        <v>1928</v>
      </c>
      <c r="D575" s="849">
        <v>0</v>
      </c>
      <c r="E575" s="849" t="s">
        <v>64</v>
      </c>
      <c r="F575" s="854"/>
      <c r="G575" s="854"/>
      <c r="H575" s="861"/>
      <c r="I575" s="861"/>
    </row>
    <row r="576" spans="1:9">
      <c r="A576" s="1176"/>
      <c r="B576" s="861"/>
      <c r="C576" s="1165"/>
      <c r="D576" s="849"/>
      <c r="E576" s="849"/>
      <c r="F576" s="854"/>
      <c r="G576" s="854"/>
      <c r="H576" s="861"/>
      <c r="I576" s="861"/>
    </row>
    <row r="577" spans="1:9" ht="38.25">
      <c r="A577" s="1176">
        <v>5</v>
      </c>
      <c r="B577" s="861"/>
      <c r="C577" s="1165" t="s">
        <v>1929</v>
      </c>
      <c r="D577" s="849">
        <v>0</v>
      </c>
      <c r="E577" s="849" t="s">
        <v>64</v>
      </c>
      <c r="F577" s="854"/>
      <c r="G577" s="854"/>
      <c r="H577" s="861"/>
      <c r="I577" s="861"/>
    </row>
    <row r="578" spans="1:9">
      <c r="A578" s="1176"/>
      <c r="B578" s="861"/>
      <c r="C578" s="1165"/>
      <c r="D578" s="849"/>
      <c r="E578" s="849"/>
      <c r="F578" s="854"/>
      <c r="G578" s="854"/>
      <c r="H578" s="861"/>
      <c r="I578" s="861"/>
    </row>
    <row r="579" spans="1:9">
      <c r="A579" s="1176">
        <v>6</v>
      </c>
      <c r="B579" s="861"/>
      <c r="C579" s="1165" t="s">
        <v>1930</v>
      </c>
      <c r="D579" s="849"/>
      <c r="E579" s="849"/>
      <c r="F579" s="854"/>
      <c r="G579" s="854"/>
      <c r="H579" s="861"/>
      <c r="I579" s="861"/>
    </row>
    <row r="580" spans="1:9">
      <c r="A580" s="1176"/>
      <c r="B580" s="861"/>
      <c r="C580" s="1165" t="s">
        <v>1931</v>
      </c>
      <c r="D580" s="849">
        <v>176</v>
      </c>
      <c r="E580" s="849" t="s">
        <v>1932</v>
      </c>
      <c r="F580" s="854"/>
      <c r="G580" s="854"/>
      <c r="H580" s="861"/>
      <c r="I580" s="861"/>
    </row>
    <row r="581" spans="1:9">
      <c r="A581" s="1176"/>
      <c r="B581" s="861"/>
      <c r="C581" s="1182"/>
      <c r="D581" s="849"/>
      <c r="E581" s="849"/>
      <c r="F581" s="854"/>
      <c r="G581" s="854"/>
      <c r="H581" s="861"/>
      <c r="I581" s="861"/>
    </row>
    <row r="582" spans="1:9">
      <c r="A582" s="1176">
        <v>7</v>
      </c>
      <c r="B582" s="861"/>
      <c r="C582" s="1165" t="s">
        <v>1933</v>
      </c>
      <c r="D582" s="849"/>
      <c r="E582" s="849"/>
      <c r="F582" s="854"/>
      <c r="G582" s="854"/>
      <c r="H582" s="861"/>
      <c r="I582" s="861"/>
    </row>
    <row r="583" spans="1:9">
      <c r="A583" s="1176"/>
      <c r="B583" s="861"/>
      <c r="C583" s="1165" t="s">
        <v>1934</v>
      </c>
      <c r="D583" s="849">
        <v>76</v>
      </c>
      <c r="E583" s="849" t="s">
        <v>1932</v>
      </c>
      <c r="F583" s="854"/>
      <c r="G583" s="854"/>
      <c r="H583" s="861"/>
      <c r="I583" s="861"/>
    </row>
    <row r="584" spans="1:9">
      <c r="A584" s="1176"/>
      <c r="B584" s="861"/>
      <c r="C584" s="1178"/>
      <c r="D584" s="161"/>
      <c r="E584" s="849"/>
      <c r="F584" s="854"/>
      <c r="G584" s="854"/>
      <c r="H584" s="861"/>
      <c r="I584" s="861"/>
    </row>
    <row r="585" spans="1:9">
      <c r="A585" s="1176">
        <v>8</v>
      </c>
      <c r="B585" s="861"/>
      <c r="C585" s="1165" t="s">
        <v>1935</v>
      </c>
      <c r="D585" s="849">
        <v>176</v>
      </c>
      <c r="E585" s="849" t="s">
        <v>64</v>
      </c>
      <c r="F585" s="854"/>
      <c r="G585" s="854"/>
      <c r="H585" s="861"/>
      <c r="I585" s="861"/>
    </row>
    <row r="586" spans="1:9">
      <c r="A586" s="1176"/>
      <c r="B586" s="861"/>
      <c r="C586" s="1178"/>
      <c r="D586" s="161"/>
      <c r="E586" s="849"/>
      <c r="F586" s="854"/>
      <c r="G586" s="854"/>
      <c r="H586" s="861"/>
      <c r="I586" s="861"/>
    </row>
    <row r="587" spans="1:9" ht="38.25">
      <c r="A587" s="1176">
        <v>9</v>
      </c>
      <c r="B587" s="861"/>
      <c r="C587" s="1165" t="s">
        <v>1936</v>
      </c>
      <c r="D587" s="849">
        <v>76</v>
      </c>
      <c r="E587" s="849" t="s">
        <v>64</v>
      </c>
      <c r="F587" s="854"/>
      <c r="G587" s="854"/>
      <c r="H587" s="861"/>
      <c r="I587" s="861"/>
    </row>
    <row r="588" spans="1:9" ht="15">
      <c r="A588" s="1179"/>
      <c r="B588" s="861"/>
      <c r="C588" s="1180"/>
      <c r="D588" s="1175"/>
      <c r="E588" s="1175"/>
      <c r="F588" s="854"/>
      <c r="G588" s="854"/>
      <c r="H588" s="861"/>
      <c r="I588" s="861"/>
    </row>
    <row r="589" spans="1:9" ht="15">
      <c r="A589" s="1179"/>
      <c r="B589" s="861"/>
      <c r="C589" s="1172" t="s">
        <v>1903</v>
      </c>
      <c r="D589" s="1175"/>
      <c r="E589" s="1175"/>
      <c r="F589" s="854"/>
      <c r="G589" s="854"/>
      <c r="H589" s="861"/>
      <c r="I589" s="861"/>
    </row>
  </sheetData>
  <mergeCells count="27">
    <mergeCell ref="C1:I1"/>
    <mergeCell ref="A6:I6"/>
    <mergeCell ref="A397:I397"/>
    <mergeCell ref="G370:G375"/>
    <mergeCell ref="I370:I375"/>
    <mergeCell ref="D370:D375"/>
    <mergeCell ref="F370:F375"/>
    <mergeCell ref="E370:E375"/>
    <mergeCell ref="H370:H375"/>
    <mergeCell ref="A370:A375"/>
    <mergeCell ref="A393:A394"/>
    <mergeCell ref="C393:C394"/>
    <mergeCell ref="D393:D394"/>
    <mergeCell ref="E393:E394"/>
    <mergeCell ref="A389:A390"/>
    <mergeCell ref="D389:D390"/>
    <mergeCell ref="F393:F394"/>
    <mergeCell ref="G393:G394"/>
    <mergeCell ref="H393:H394"/>
    <mergeCell ref="I393:I394"/>
    <mergeCell ref="C2:I2"/>
    <mergeCell ref="A3:I3"/>
    <mergeCell ref="E389:E390"/>
    <mergeCell ref="F389:F390"/>
    <mergeCell ref="G389:G390"/>
    <mergeCell ref="H389:H390"/>
    <mergeCell ref="I389:I390"/>
  </mergeCells>
  <printOptions horizontalCentered="1"/>
  <pageMargins left="0.7" right="0.7" top="0.75" bottom="0.75" header="0.3" footer="0.3"/>
  <pageSetup scale="64" orientation="portrait" horizontalDpi="300" verticalDpi="300" r:id="rId1"/>
  <headerFooter>
    <oddFooter>Page &amp;P</oddFooter>
  </headerFooter>
  <rowBreaks count="2" manualBreakCount="2">
    <brk id="327" max="8" man="1"/>
    <brk id="35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Lead</vt:lpstr>
      <vt:lpstr>ANALYSIS</vt:lpstr>
      <vt:lpstr>Sheet3</vt:lpstr>
      <vt:lpstr>P.H. Analysis</vt:lpstr>
      <vt:lpstr>Irrigation</vt:lpstr>
      <vt:lpstr>Land-Civil Str (Qty)</vt:lpstr>
      <vt:lpstr>Beautification of water</vt:lpstr>
      <vt:lpstr>Boating comp (P.H.)</vt:lpstr>
      <vt:lpstr>O.A.T. (P.H.)</vt:lpstr>
      <vt:lpstr>Boating Comp (Civil)</vt:lpstr>
      <vt:lpstr>Boating complex(Qnty)</vt:lpstr>
      <vt:lpstr>ANALYSIS (2)</vt:lpstr>
      <vt:lpstr>Abst(Admin)</vt:lpstr>
      <vt:lpstr>Sheet5</vt:lpstr>
      <vt:lpstr>Abs(Hostel)</vt:lpstr>
      <vt:lpstr>Qnty(Hostel)</vt:lpstr>
      <vt:lpstr>Index</vt:lpstr>
      <vt:lpstr>INDEX..</vt:lpstr>
      <vt:lpstr>Abs P qtr</vt:lpstr>
      <vt:lpstr>p. qtr(qty)</vt:lpstr>
      <vt:lpstr>Abs(Staff Qtr)</vt:lpstr>
      <vt:lpstr>Staaf Qtr</vt:lpstr>
      <vt:lpstr>Total abstract</vt:lpstr>
      <vt:lpstr>SUMMARY</vt:lpstr>
      <vt:lpstr>BOQ</vt:lpstr>
      <vt:lpstr>'Abs(Hostel)'!Print_Area</vt:lpstr>
      <vt:lpstr>'Abst(Admin)'!Print_Area</vt:lpstr>
      <vt:lpstr>ANALYSIS!Print_Area</vt:lpstr>
      <vt:lpstr>'ANALYSIS (2)'!Print_Area</vt:lpstr>
      <vt:lpstr>BOQ!Print_Area</vt:lpstr>
      <vt:lpstr>Index!Print_Area</vt:lpstr>
      <vt:lpstr>INDEX..!Print_Area</vt:lpstr>
      <vt:lpstr>Irrigation!Print_Area</vt:lpstr>
      <vt:lpstr>'Land-Civil Str (Qty)'!Print_Area</vt:lpstr>
      <vt:lpstr>Lead!Print_Area</vt:lpstr>
      <vt:lpstr>'Qnty(Hostel)'!Print_Area</vt:lpstr>
      <vt:lpstr>'Total abstract'!Print_Area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comp-7</dc:creator>
  <cp:lastModifiedBy>Admin</cp:lastModifiedBy>
  <cp:lastPrinted>2019-06-04T13:06:53Z</cp:lastPrinted>
  <dcterms:created xsi:type="dcterms:W3CDTF">1996-10-14T23:33:28Z</dcterms:created>
  <dcterms:modified xsi:type="dcterms:W3CDTF">2019-06-18T12:54:47Z</dcterms:modified>
</cp:coreProperties>
</file>